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12" windowHeight="1106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доп.67'!$A$1:$K$61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7"/>
  <c r="J16"/>
  <c r="J15"/>
  <c r="J14"/>
  <c r="I21"/>
  <c r="H60"/>
  <c r="J60"/>
  <c r="H59"/>
  <c r="J59"/>
  <c r="A58"/>
  <c r="H56"/>
  <c r="J56"/>
  <c r="H55"/>
  <c r="J55"/>
  <c r="A54"/>
  <c r="AA51"/>
  <c r="Y51"/>
  <c r="X51"/>
  <c r="K50"/>
  <c r="P51" s="1"/>
  <c r="J54" s="1"/>
  <c r="J50"/>
  <c r="I50"/>
  <c r="Z51" s="1"/>
  <c r="H50"/>
  <c r="G50"/>
  <c r="F50"/>
  <c r="V50"/>
  <c r="T50"/>
  <c r="R50"/>
  <c r="U50"/>
  <c r="S50"/>
  <c r="Q50"/>
  <c r="E50"/>
  <c r="D50"/>
  <c r="B50"/>
  <c r="A49"/>
  <c r="H47"/>
  <c r="J47"/>
  <c r="H46"/>
  <c r="J46"/>
  <c r="A45"/>
  <c r="AA42"/>
  <c r="I17" s="1"/>
  <c r="Z42"/>
  <c r="X42"/>
  <c r="I14" s="1"/>
  <c r="H41"/>
  <c r="J41"/>
  <c r="AB39"/>
  <c r="I19" s="1"/>
  <c r="I39"/>
  <c r="H39"/>
  <c r="G39"/>
  <c r="E39"/>
  <c r="J38"/>
  <c r="E38"/>
  <c r="J37"/>
  <c r="E37"/>
  <c r="J36"/>
  <c r="E36"/>
  <c r="K35"/>
  <c r="J35"/>
  <c r="I35"/>
  <c r="H35"/>
  <c r="G35"/>
  <c r="F35"/>
  <c r="K34"/>
  <c r="J34"/>
  <c r="I34"/>
  <c r="W34" s="1"/>
  <c r="H34"/>
  <c r="G34"/>
  <c r="F34"/>
  <c r="K33"/>
  <c r="J33"/>
  <c r="I33"/>
  <c r="H33"/>
  <c r="G33"/>
  <c r="F33"/>
  <c r="K32"/>
  <c r="J32"/>
  <c r="I32"/>
  <c r="W32" s="1"/>
  <c r="I18" s="1"/>
  <c r="H32"/>
  <c r="G32"/>
  <c r="F32"/>
  <c r="V31"/>
  <c r="K38" s="1"/>
  <c r="T31"/>
  <c r="K37" s="1"/>
  <c r="R31"/>
  <c r="K36" s="1"/>
  <c r="U31"/>
  <c r="I38" s="1"/>
  <c r="S31"/>
  <c r="I37" s="1"/>
  <c r="Q31"/>
  <c r="I36" s="1"/>
  <c r="E31"/>
  <c r="D31"/>
  <c r="B31"/>
  <c r="A30"/>
  <c r="A28"/>
  <c r="A10"/>
  <c r="A1" i="4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1" i="3"/>
  <c r="Y1"/>
  <c r="CV1" s="1"/>
  <c r="CU1"/>
  <c r="CX1"/>
  <c r="DG1" s="1"/>
  <c r="CY1"/>
  <c r="CZ1"/>
  <c r="DB1" s="1"/>
  <c r="DA1"/>
  <c r="DC1"/>
  <c r="DH1"/>
  <c r="A2"/>
  <c r="Y2"/>
  <c r="CW2"/>
  <c r="CX2"/>
  <c r="DI2" s="1"/>
  <c r="CY2"/>
  <c r="CZ2"/>
  <c r="DA2"/>
  <c r="DB2"/>
  <c r="DC2"/>
  <c r="A3"/>
  <c r="Y3"/>
  <c r="CW3" s="1"/>
  <c r="CY3"/>
  <c r="CZ3"/>
  <c r="DB3" s="1"/>
  <c r="DA3"/>
  <c r="DC3"/>
  <c r="A4"/>
  <c r="Y4"/>
  <c r="CW4"/>
  <c r="CX4"/>
  <c r="DI4" s="1"/>
  <c r="CY4"/>
  <c r="CZ4"/>
  <c r="DA4"/>
  <c r="DB4"/>
  <c r="DC4"/>
  <c r="A5"/>
  <c r="Y5"/>
  <c r="CX5" s="1"/>
  <c r="CY5"/>
  <c r="CZ5"/>
  <c r="DB5" s="1"/>
  <c r="DA5"/>
  <c r="DC5"/>
  <c r="A6"/>
  <c r="Y6"/>
  <c r="CX6"/>
  <c r="DG6" s="1"/>
  <c r="CY6"/>
  <c r="CZ6"/>
  <c r="DB6" s="1"/>
  <c r="DA6"/>
  <c r="DC6"/>
  <c r="DF6"/>
  <c r="DJ6" s="1"/>
  <c r="DH6"/>
  <c r="DI6"/>
  <c r="A7"/>
  <c r="Y7"/>
  <c r="CX7"/>
  <c r="DF7" s="1"/>
  <c r="DJ7" s="1"/>
  <c r="CY7"/>
  <c r="CZ7"/>
  <c r="DA7"/>
  <c r="DB7"/>
  <c r="DC7"/>
  <c r="DH7"/>
  <c r="A8"/>
  <c r="Y8"/>
  <c r="CX8"/>
  <c r="DI8" s="1"/>
  <c r="CY8"/>
  <c r="CZ8"/>
  <c r="DA8"/>
  <c r="DB8"/>
  <c r="DC8"/>
  <c r="A9"/>
  <c r="Y9"/>
  <c r="CX9" s="1"/>
  <c r="CY9"/>
  <c r="CZ9"/>
  <c r="DB9" s="1"/>
  <c r="DA9"/>
  <c r="DC9"/>
  <c r="A10"/>
  <c r="Y10"/>
  <c r="CX10"/>
  <c r="DG10" s="1"/>
  <c r="CY10"/>
  <c r="CZ10"/>
  <c r="DB10" s="1"/>
  <c r="DA10"/>
  <c r="DC10"/>
  <c r="DF10"/>
  <c r="DJ10" s="1"/>
  <c r="DH10"/>
  <c r="DI10"/>
  <c r="A11"/>
  <c r="Y11"/>
  <c r="CX11" s="1"/>
  <c r="CU11"/>
  <c r="CV11"/>
  <c r="CY11"/>
  <c r="CZ11"/>
  <c r="DB11" s="1"/>
  <c r="DA11"/>
  <c r="DC11"/>
  <c r="A12"/>
  <c r="Y12"/>
  <c r="CW12"/>
  <c r="CX12"/>
  <c r="DF12" s="1"/>
  <c r="CY12"/>
  <c r="CZ12"/>
  <c r="DA12"/>
  <c r="DB12"/>
  <c r="DC12"/>
  <c r="DH12"/>
  <c r="DI12"/>
  <c r="A13"/>
  <c r="Y13"/>
  <c r="CX13" s="1"/>
  <c r="CW13"/>
  <c r="CY13"/>
  <c r="CZ13"/>
  <c r="DB13" s="1"/>
  <c r="DA13"/>
  <c r="DC13"/>
  <c r="A14"/>
  <c r="Y14"/>
  <c r="CW14"/>
  <c r="CX14"/>
  <c r="DF14" s="1"/>
  <c r="CY14"/>
  <c r="CZ14"/>
  <c r="DA14"/>
  <c r="DB14"/>
  <c r="DC14"/>
  <c r="DI14"/>
  <c r="A15"/>
  <c r="Y15"/>
  <c r="CX15"/>
  <c r="DI15" s="1"/>
  <c r="CY15"/>
  <c r="CZ15"/>
  <c r="DA15"/>
  <c r="DB15"/>
  <c r="DC15"/>
  <c r="DH15"/>
  <c r="A16"/>
  <c r="Y16"/>
  <c r="CX16" s="1"/>
  <c r="CY16"/>
  <c r="CZ16"/>
  <c r="DB16" s="1"/>
  <c r="DA16"/>
  <c r="DC16"/>
  <c r="A17"/>
  <c r="Y17"/>
  <c r="CX17"/>
  <c r="DG17" s="1"/>
  <c r="CY17"/>
  <c r="CZ17"/>
  <c r="DB17" s="1"/>
  <c r="DA17"/>
  <c r="DC17"/>
  <c r="DH17"/>
  <c r="A18"/>
  <c r="Y18"/>
  <c r="CX18"/>
  <c r="DF18" s="1"/>
  <c r="DJ18" s="1"/>
  <c r="CY18"/>
  <c r="CZ18"/>
  <c r="DA18"/>
  <c r="DB18"/>
  <c r="DC18"/>
  <c r="DI18"/>
  <c r="A19"/>
  <c r="Y19"/>
  <c r="CX19"/>
  <c r="DI19" s="1"/>
  <c r="CY19"/>
  <c r="CZ19"/>
  <c r="DA19"/>
  <c r="DB19"/>
  <c r="DC19"/>
  <c r="DH19"/>
  <c r="A20"/>
  <c r="Y20"/>
  <c r="CX20" s="1"/>
  <c r="CY20"/>
  <c r="CZ20"/>
  <c r="DB20" s="1"/>
  <c r="DA20"/>
  <c r="DC20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8"/>
  <c r="D28"/>
  <c r="P28"/>
  <c r="R28"/>
  <c r="S28"/>
  <c r="CZ28" s="1"/>
  <c r="Y28" s="1"/>
  <c r="AL31" s="1"/>
  <c r="AC28"/>
  <c r="AB28" s="1"/>
  <c r="AD28"/>
  <c r="AE28"/>
  <c r="Q28" s="1"/>
  <c r="AD31" s="1"/>
  <c r="AF28"/>
  <c r="AG28"/>
  <c r="AH28"/>
  <c r="CV28" s="1"/>
  <c r="U28" s="1"/>
  <c r="AH31" s="1"/>
  <c r="AI28"/>
  <c r="AJ28"/>
  <c r="CQ28"/>
  <c r="CR28"/>
  <c r="CS28"/>
  <c r="CT28"/>
  <c r="CU28"/>
  <c r="T28" s="1"/>
  <c r="AG31" s="1"/>
  <c r="CW28"/>
  <c r="V28" s="1"/>
  <c r="AI31" s="1"/>
  <c r="CX28"/>
  <c r="W28" s="1"/>
  <c r="AJ31" s="1"/>
  <c r="CY28"/>
  <c r="X28" s="1"/>
  <c r="AK31" s="1"/>
  <c r="FR28"/>
  <c r="GK28"/>
  <c r="GL28"/>
  <c r="GN28"/>
  <c r="GP28"/>
  <c r="GV28"/>
  <c r="HC28"/>
  <c r="GX28" s="1"/>
  <c r="CJ31" s="1"/>
  <c r="C29"/>
  <c r="D29"/>
  <c r="P29"/>
  <c r="S29"/>
  <c r="AC29"/>
  <c r="AE29"/>
  <c r="R29" s="1"/>
  <c r="AF29"/>
  <c r="AG29"/>
  <c r="AH29"/>
  <c r="AI29"/>
  <c r="CW29" s="1"/>
  <c r="V29" s="1"/>
  <c r="EA31" s="1"/>
  <c r="AJ29"/>
  <c r="CQ29"/>
  <c r="CR29"/>
  <c r="CT29"/>
  <c r="CU29"/>
  <c r="T29" s="1"/>
  <c r="DY31" s="1"/>
  <c r="CV29"/>
  <c r="U29" s="1"/>
  <c r="DZ31" s="1"/>
  <c r="CX29"/>
  <c r="W29" s="1"/>
  <c r="EB31" s="1"/>
  <c r="CY29"/>
  <c r="X29" s="1"/>
  <c r="EC31" s="1"/>
  <c r="CZ29"/>
  <c r="Y29" s="1"/>
  <c r="ED31" s="1"/>
  <c r="FR29"/>
  <c r="GL29"/>
  <c r="GN29"/>
  <c r="GP29"/>
  <c r="GV29"/>
  <c r="HC29" s="1"/>
  <c r="GX29" s="1"/>
  <c r="GB31" s="1"/>
  <c r="B31"/>
  <c r="B26" s="1"/>
  <c r="C31"/>
  <c r="C26" s="1"/>
  <c r="D31"/>
  <c r="D26" s="1"/>
  <c r="F31"/>
  <c r="F26" s="1"/>
  <c r="G31"/>
  <c r="G26" s="1"/>
  <c r="AC31"/>
  <c r="P31" s="1"/>
  <c r="AE31"/>
  <c r="AE26" s="1"/>
  <c r="AF31"/>
  <c r="S31" s="1"/>
  <c r="BX31"/>
  <c r="CE31" s="1"/>
  <c r="BY31"/>
  <c r="BY26" s="1"/>
  <c r="BZ31"/>
  <c r="BZ26" s="1"/>
  <c r="CB31"/>
  <c r="CB26" s="1"/>
  <c r="CD31"/>
  <c r="CD26" s="1"/>
  <c r="CF31"/>
  <c r="CF26" s="1"/>
  <c r="CI31"/>
  <c r="CI26" s="1"/>
  <c r="CK31"/>
  <c r="CK26" s="1"/>
  <c r="CL31"/>
  <c r="CL26" s="1"/>
  <c r="CM31"/>
  <c r="CM26" s="1"/>
  <c r="DK31"/>
  <c r="DK26" s="1"/>
  <c r="DU31"/>
  <c r="FX31" s="1"/>
  <c r="DX31"/>
  <c r="DX26" s="1"/>
  <c r="FP31"/>
  <c r="EG31" s="1"/>
  <c r="FQ31"/>
  <c r="EH31" s="1"/>
  <c r="FR31"/>
  <c r="FY31" s="1"/>
  <c r="FT31"/>
  <c r="EK31" s="1"/>
  <c r="FV31"/>
  <c r="FV26" s="1"/>
  <c r="FZ31"/>
  <c r="FZ26" s="1"/>
  <c r="GC31"/>
  <c r="ET31" s="1"/>
  <c r="ET98" s="1"/>
  <c r="GD31"/>
  <c r="GD26" s="1"/>
  <c r="GE31"/>
  <c r="GE26" s="1"/>
  <c r="D61"/>
  <c r="E63"/>
  <c r="Z63"/>
  <c r="AA63"/>
  <c r="AM63"/>
  <c r="AN63"/>
  <c r="BE63"/>
  <c r="BF63"/>
  <c r="BG63"/>
  <c r="BH63"/>
  <c r="BI63"/>
  <c r="BJ63"/>
  <c r="BK63"/>
  <c r="BL63"/>
  <c r="BM63"/>
  <c r="BN63"/>
  <c r="BO63"/>
  <c r="BP63"/>
  <c r="BQ63"/>
  <c r="BR63"/>
  <c r="BS63"/>
  <c r="BT63"/>
  <c r="BU63"/>
  <c r="BV63"/>
  <c r="BW63"/>
  <c r="CN63"/>
  <c r="CO63"/>
  <c r="CP63"/>
  <c r="CQ63"/>
  <c r="CR63"/>
  <c r="CS63"/>
  <c r="CT63"/>
  <c r="CU63"/>
  <c r="CV63"/>
  <c r="CW63"/>
  <c r="CX63"/>
  <c r="CY63"/>
  <c r="CZ63"/>
  <c r="DA63"/>
  <c r="DB63"/>
  <c r="DC63"/>
  <c r="DD63"/>
  <c r="DE63"/>
  <c r="DF63"/>
  <c r="DR63"/>
  <c r="DS63"/>
  <c r="EE63"/>
  <c r="EF63"/>
  <c r="EW63"/>
  <c r="EX63"/>
  <c r="EY63"/>
  <c r="EZ63"/>
  <c r="FA63"/>
  <c r="FB63"/>
  <c r="FC63"/>
  <c r="FD63"/>
  <c r="FE63"/>
  <c r="FF63"/>
  <c r="FG63"/>
  <c r="FH63"/>
  <c r="FI63"/>
  <c r="FJ63"/>
  <c r="FK63"/>
  <c r="FL63"/>
  <c r="FM63"/>
  <c r="FN63"/>
  <c r="FO63"/>
  <c r="GF63"/>
  <c r="GG63"/>
  <c r="GH63"/>
  <c r="GI63"/>
  <c r="GJ63"/>
  <c r="GK63"/>
  <c r="GL63"/>
  <c r="GM63"/>
  <c r="GN63"/>
  <c r="GO63"/>
  <c r="GP63"/>
  <c r="GQ63"/>
  <c r="GR63"/>
  <c r="GS63"/>
  <c r="GT63"/>
  <c r="GU63"/>
  <c r="GV63"/>
  <c r="GW63"/>
  <c r="GX63"/>
  <c r="P65"/>
  <c r="R65"/>
  <c r="S65"/>
  <c r="CZ65" s="1"/>
  <c r="Y65" s="1"/>
  <c r="AL68" s="1"/>
  <c r="AC65"/>
  <c r="AB65" s="1"/>
  <c r="AD65"/>
  <c r="AE65"/>
  <c r="Q65" s="1"/>
  <c r="AD68" s="1"/>
  <c r="AF65"/>
  <c r="AG65"/>
  <c r="AH65"/>
  <c r="CV65" s="1"/>
  <c r="U65" s="1"/>
  <c r="AH68" s="1"/>
  <c r="AI65"/>
  <c r="AJ65"/>
  <c r="CQ65"/>
  <c r="CR65"/>
  <c r="CS65"/>
  <c r="CT65"/>
  <c r="CU65"/>
  <c r="T65" s="1"/>
  <c r="AG68" s="1"/>
  <c r="CW65"/>
  <c r="V65" s="1"/>
  <c r="AI68" s="1"/>
  <c r="CX65"/>
  <c r="W65" s="1"/>
  <c r="AJ68" s="1"/>
  <c r="CY65"/>
  <c r="X65" s="1"/>
  <c r="AK68" s="1"/>
  <c r="GK65"/>
  <c r="GL65"/>
  <c r="BZ68" s="1"/>
  <c r="GN65"/>
  <c r="GO65"/>
  <c r="CC68" s="1"/>
  <c r="GP65"/>
  <c r="CD68" s="1"/>
  <c r="GV65"/>
  <c r="HC65"/>
  <c r="GX65" s="1"/>
  <c r="R66"/>
  <c r="S66"/>
  <c r="CZ66" s="1"/>
  <c r="Y66" s="1"/>
  <c r="ED68" s="1"/>
  <c r="AC66"/>
  <c r="AE66"/>
  <c r="Q66" s="1"/>
  <c r="DV68" s="1"/>
  <c r="AF66"/>
  <c r="AG66"/>
  <c r="CU66" s="1"/>
  <c r="T66" s="1"/>
  <c r="DY68" s="1"/>
  <c r="AH66"/>
  <c r="AI66"/>
  <c r="AJ66"/>
  <c r="CR66"/>
  <c r="CS66"/>
  <c r="CT66"/>
  <c r="CV66"/>
  <c r="U66" s="1"/>
  <c r="DZ68" s="1"/>
  <c r="CW66"/>
  <c r="V66" s="1"/>
  <c r="EA68" s="1"/>
  <c r="CX66"/>
  <c r="W66" s="1"/>
  <c r="EB68" s="1"/>
  <c r="EB63" s="1"/>
  <c r="GK66"/>
  <c r="GL66"/>
  <c r="GN66"/>
  <c r="GO66"/>
  <c r="GP66"/>
  <c r="GV66"/>
  <c r="HC66"/>
  <c r="GX66" s="1"/>
  <c r="GB68" s="1"/>
  <c r="B68"/>
  <c r="B63" s="1"/>
  <c r="C68"/>
  <c r="C63" s="1"/>
  <c r="D68"/>
  <c r="D63" s="1"/>
  <c r="F68"/>
  <c r="F63" s="1"/>
  <c r="G68"/>
  <c r="G63" s="1"/>
  <c r="AE68"/>
  <c r="AE63" s="1"/>
  <c r="BX68"/>
  <c r="CG68" s="1"/>
  <c r="CB68"/>
  <c r="CB63" s="1"/>
  <c r="CJ68"/>
  <c r="CK68"/>
  <c r="CK63" s="1"/>
  <c r="CL68"/>
  <c r="CL63" s="1"/>
  <c r="CM68"/>
  <c r="CM63" s="1"/>
  <c r="DJ68"/>
  <c r="DJ63" s="1"/>
  <c r="DK68"/>
  <c r="DO68"/>
  <c r="DO63" s="1"/>
  <c r="DW68"/>
  <c r="DW63" s="1"/>
  <c r="DX68"/>
  <c r="DX63" s="1"/>
  <c r="EI68"/>
  <c r="FP68"/>
  <c r="EG68" s="1"/>
  <c r="FR68"/>
  <c r="FT68"/>
  <c r="EK68" s="1"/>
  <c r="FU68"/>
  <c r="EL68" s="1"/>
  <c r="EL63" s="1"/>
  <c r="FV68"/>
  <c r="FV63" s="1"/>
  <c r="GC68"/>
  <c r="ET68" s="1"/>
  <c r="GD68"/>
  <c r="GD63" s="1"/>
  <c r="GE68"/>
  <c r="GE63" s="1"/>
  <c r="P82"/>
  <c r="P92"/>
  <c r="B98"/>
  <c r="B22" s="1"/>
  <c r="C98"/>
  <c r="C22" s="1"/>
  <c r="D98"/>
  <c r="D22" s="1"/>
  <c r="F98"/>
  <c r="F22" s="1"/>
  <c r="G98"/>
  <c r="G22" s="1"/>
  <c r="DK98"/>
  <c r="EG98"/>
  <c r="EG22" s="1"/>
  <c r="EK98"/>
  <c r="B128"/>
  <c r="B18" s="1"/>
  <c r="C128"/>
  <c r="C18" s="1"/>
  <c r="D128"/>
  <c r="D18" s="1"/>
  <c r="F128"/>
  <c r="F18" s="1"/>
  <c r="G128"/>
  <c r="G18" s="1"/>
  <c r="EG128"/>
  <c r="EK128"/>
  <c r="EK18" s="1"/>
  <c r="P145"/>
  <c r="F12" i="6"/>
  <c r="G12"/>
  <c r="CY12"/>
  <c r="O51" i="7" l="1"/>
  <c r="H54" s="1"/>
  <c r="I16"/>
  <c r="H51"/>
  <c r="J51"/>
  <c r="J13"/>
  <c r="Y42"/>
  <c r="I15" s="1"/>
  <c r="I13" s="1"/>
  <c r="J40"/>
  <c r="O42"/>
  <c r="P42"/>
  <c r="H40"/>
  <c r="DH18" i="3"/>
  <c r="DF17"/>
  <c r="DJ17" s="1"/>
  <c r="DH14"/>
  <c r="DF1"/>
  <c r="DI17"/>
  <c r="DI7"/>
  <c r="DH8"/>
  <c r="DH4"/>
  <c r="DH2"/>
  <c r="DY63" i="1"/>
  <c r="DL68"/>
  <c r="ET22"/>
  <c r="P111"/>
  <c r="ET128"/>
  <c r="P113"/>
  <c r="DK128"/>
  <c r="DK22"/>
  <c r="FY68"/>
  <c r="FR63"/>
  <c r="ED63"/>
  <c r="DQ68"/>
  <c r="CJ63"/>
  <c r="BA68"/>
  <c r="DV63"/>
  <c r="DI68"/>
  <c r="W68"/>
  <c r="AJ63"/>
  <c r="AD63"/>
  <c r="Q68"/>
  <c r="P35"/>
  <c r="EG26"/>
  <c r="P26"/>
  <c r="F34"/>
  <c r="EC26"/>
  <c r="DP31"/>
  <c r="EA26"/>
  <c r="DN31"/>
  <c r="DW31"/>
  <c r="GK29"/>
  <c r="T31"/>
  <c r="AG26"/>
  <c r="DH20" i="3"/>
  <c r="DG20"/>
  <c r="DF20"/>
  <c r="DJ20" s="1"/>
  <c r="DI20"/>
  <c r="DH16"/>
  <c r="DG16"/>
  <c r="DF16"/>
  <c r="DJ16" s="1"/>
  <c r="DI16"/>
  <c r="P102" i="1"/>
  <c r="EU68"/>
  <c r="P72"/>
  <c r="EG63"/>
  <c r="EI63"/>
  <c r="P78"/>
  <c r="CG63"/>
  <c r="AX68"/>
  <c r="DZ63"/>
  <c r="DM68"/>
  <c r="CC63"/>
  <c r="AT68"/>
  <c r="X68"/>
  <c r="AK63"/>
  <c r="AL63"/>
  <c r="Y68"/>
  <c r="EH26"/>
  <c r="P40"/>
  <c r="ED26"/>
  <c r="DQ31"/>
  <c r="DY26"/>
  <c r="DL31"/>
  <c r="AI26"/>
  <c r="V31"/>
  <c r="AH26"/>
  <c r="U31"/>
  <c r="DH13" i="3"/>
  <c r="DG13"/>
  <c r="DJ13" s="1"/>
  <c r="DF13"/>
  <c r="DI13"/>
  <c r="DH9"/>
  <c r="DG9"/>
  <c r="DF9"/>
  <c r="DJ9" s="1"/>
  <c r="DI9"/>
  <c r="DH5"/>
  <c r="DG5"/>
  <c r="DF5"/>
  <c r="DJ5" s="1"/>
  <c r="DI5"/>
  <c r="CP28" i="1"/>
  <c r="O28" s="1"/>
  <c r="ES68"/>
  <c r="GB63"/>
  <c r="T68"/>
  <c r="AG63"/>
  <c r="EP31"/>
  <c r="FY26"/>
  <c r="ES31"/>
  <c r="GB26"/>
  <c r="CJ26"/>
  <c r="BA31"/>
  <c r="W31"/>
  <c r="AJ26"/>
  <c r="AD26"/>
  <c r="Q31"/>
  <c r="DH11" i="3"/>
  <c r="DG11"/>
  <c r="DF11"/>
  <c r="DI11"/>
  <c r="DJ11" s="1"/>
  <c r="EM68" i="1"/>
  <c r="EG18"/>
  <c r="P132"/>
  <c r="DK63"/>
  <c r="P83"/>
  <c r="EA63"/>
  <c r="DN68"/>
  <c r="CD63"/>
  <c r="AU68"/>
  <c r="ET26"/>
  <c r="P44"/>
  <c r="EO31"/>
  <c r="FX26"/>
  <c r="S26"/>
  <c r="F46"/>
  <c r="DZ26"/>
  <c r="DM31"/>
  <c r="EK22"/>
  <c r="P115"/>
  <c r="E16" i="2" s="1"/>
  <c r="ET63" i="1"/>
  <c r="P81"/>
  <c r="EK63"/>
  <c r="P85"/>
  <c r="BZ63"/>
  <c r="AQ68"/>
  <c r="AI63"/>
  <c r="V68"/>
  <c r="AH63"/>
  <c r="U68"/>
  <c r="EK26"/>
  <c r="P48"/>
  <c r="CE26"/>
  <c r="AV31"/>
  <c r="EB26"/>
  <c r="DO31"/>
  <c r="X31"/>
  <c r="AK26"/>
  <c r="AL26"/>
  <c r="Y31"/>
  <c r="P86"/>
  <c r="CP65"/>
  <c r="O65" s="1"/>
  <c r="AB29"/>
  <c r="AS68"/>
  <c r="AO68"/>
  <c r="FT63"/>
  <c r="FP63"/>
  <c r="BX63"/>
  <c r="EU31"/>
  <c r="EQ31"/>
  <c r="EM31"/>
  <c r="EI31"/>
  <c r="AW31"/>
  <c r="AS31"/>
  <c r="AO31"/>
  <c r="FT26"/>
  <c r="FP26"/>
  <c r="BX26"/>
  <c r="AF26"/>
  <c r="DF19" i="3"/>
  <c r="DJ19" s="1"/>
  <c r="DG18"/>
  <c r="DF15"/>
  <c r="DJ15" s="1"/>
  <c r="DG14"/>
  <c r="DJ14" s="1"/>
  <c r="DG12"/>
  <c r="DJ12" s="1"/>
  <c r="DF8"/>
  <c r="DJ8" s="1"/>
  <c r="DG7"/>
  <c r="DF4"/>
  <c r="CX3"/>
  <c r="DF2"/>
  <c r="EV68" i="1"/>
  <c r="BB68"/>
  <c r="AF68"/>
  <c r="R68"/>
  <c r="CY66"/>
  <c r="X66" s="1"/>
  <c r="EC68" s="1"/>
  <c r="CQ66"/>
  <c r="AD66"/>
  <c r="AB66" s="1"/>
  <c r="P66"/>
  <c r="GC63"/>
  <c r="FU63"/>
  <c r="P46"/>
  <c r="GA31"/>
  <c r="FW31"/>
  <c r="EV31"/>
  <c r="DH31"/>
  <c r="CG31"/>
  <c r="BB31"/>
  <c r="AP31"/>
  <c r="R31"/>
  <c r="AD29"/>
  <c r="GC26"/>
  <c r="FQ26"/>
  <c r="DU26"/>
  <c r="AC26"/>
  <c r="DG19" i="3"/>
  <c r="DG15"/>
  <c r="DG8"/>
  <c r="DG4"/>
  <c r="DJ4" s="1"/>
  <c r="DG2"/>
  <c r="DJ2" s="1"/>
  <c r="DI1"/>
  <c r="DJ1" s="1"/>
  <c r="BC68" i="1"/>
  <c r="AC68"/>
  <c r="CH31"/>
  <c r="BC31"/>
  <c r="AU31"/>
  <c r="AQ31"/>
  <c r="Q29"/>
  <c r="DV31" s="1"/>
  <c r="FR26"/>
  <c r="BD68"/>
  <c r="BD31"/>
  <c r="AZ31"/>
  <c r="CS29"/>
  <c r="J45" i="7" l="1"/>
  <c r="J58"/>
  <c r="H45"/>
  <c r="H58"/>
  <c r="DV26" i="1"/>
  <c r="DI31"/>
  <c r="FW26"/>
  <c r="EN31"/>
  <c r="AS26"/>
  <c r="F48"/>
  <c r="AS98"/>
  <c r="BC26"/>
  <c r="F47"/>
  <c r="BC98"/>
  <c r="AP26"/>
  <c r="F40"/>
  <c r="EV98"/>
  <c r="P56"/>
  <c r="EV26"/>
  <c r="E18" i="2"/>
  <c r="F51" i="1"/>
  <c r="BA26"/>
  <c r="BA98"/>
  <c r="P52"/>
  <c r="DL98"/>
  <c r="DL26"/>
  <c r="BD63"/>
  <c r="F93"/>
  <c r="AU26"/>
  <c r="AU98"/>
  <c r="F50"/>
  <c r="BC63"/>
  <c r="F84"/>
  <c r="R26"/>
  <c r="F45"/>
  <c r="R98"/>
  <c r="P34"/>
  <c r="DH26"/>
  <c r="DG3" i="3"/>
  <c r="DJ3" s="1"/>
  <c r="DF3"/>
  <c r="DI3"/>
  <c r="DH3"/>
  <c r="BD26" i="1"/>
  <c r="F56"/>
  <c r="BD98"/>
  <c r="AQ26"/>
  <c r="F41"/>
  <c r="AQ98"/>
  <c r="P68"/>
  <c r="CE68"/>
  <c r="AC63"/>
  <c r="CG26"/>
  <c r="AX31"/>
  <c r="GA26"/>
  <c r="ER31"/>
  <c r="CP66"/>
  <c r="O66" s="1"/>
  <c r="DU68"/>
  <c r="R63"/>
  <c r="F82"/>
  <c r="F37"/>
  <c r="AW26"/>
  <c r="EU26"/>
  <c r="P47"/>
  <c r="EU98"/>
  <c r="F72"/>
  <c r="AO63"/>
  <c r="AV26"/>
  <c r="F36"/>
  <c r="F90"/>
  <c r="U63"/>
  <c r="AQ63"/>
  <c r="F78"/>
  <c r="P53"/>
  <c r="DM98"/>
  <c r="DM26"/>
  <c r="GM28"/>
  <c r="AB31"/>
  <c r="V26"/>
  <c r="F54"/>
  <c r="V98"/>
  <c r="DQ98"/>
  <c r="DQ26"/>
  <c r="P58"/>
  <c r="Y63"/>
  <c r="F95"/>
  <c r="AT63"/>
  <c r="F86"/>
  <c r="AX63"/>
  <c r="F75"/>
  <c r="DN26"/>
  <c r="P54"/>
  <c r="DN98"/>
  <c r="W63"/>
  <c r="F92"/>
  <c r="EP68"/>
  <c r="EP98" s="1"/>
  <c r="FY63"/>
  <c r="ET18"/>
  <c r="P141"/>
  <c r="EC63"/>
  <c r="DP68"/>
  <c r="EQ26"/>
  <c r="P39"/>
  <c r="EP26"/>
  <c r="P38"/>
  <c r="F94"/>
  <c r="X63"/>
  <c r="DW26"/>
  <c r="DJ31"/>
  <c r="F88"/>
  <c r="BA63"/>
  <c r="P89"/>
  <c r="DL63"/>
  <c r="BB26"/>
  <c r="BB98"/>
  <c r="F44"/>
  <c r="P93"/>
  <c r="EV63"/>
  <c r="GM65"/>
  <c r="AB68"/>
  <c r="DN63"/>
  <c r="P91"/>
  <c r="BB63"/>
  <c r="F81"/>
  <c r="F35"/>
  <c r="AO26"/>
  <c r="AO98"/>
  <c r="Y26"/>
  <c r="F58"/>
  <c r="Y98"/>
  <c r="F43"/>
  <c r="Q26"/>
  <c r="Q98"/>
  <c r="F53"/>
  <c r="U26"/>
  <c r="U98"/>
  <c r="DM63"/>
  <c r="P90"/>
  <c r="EU63"/>
  <c r="P84"/>
  <c r="P57"/>
  <c r="DP98"/>
  <c r="DP26"/>
  <c r="DK18"/>
  <c r="P143"/>
  <c r="AZ26"/>
  <c r="F42"/>
  <c r="CH26"/>
  <c r="AY31"/>
  <c r="ES63"/>
  <c r="P88"/>
  <c r="EM26"/>
  <c r="P50"/>
  <c r="EM98"/>
  <c r="DO26"/>
  <c r="P55"/>
  <c r="DO98"/>
  <c r="V63"/>
  <c r="F91"/>
  <c r="P37"/>
  <c r="EO26"/>
  <c r="S68"/>
  <c r="AF63"/>
  <c r="EI26"/>
  <c r="P41"/>
  <c r="EI98"/>
  <c r="AS63"/>
  <c r="F85"/>
  <c r="F57"/>
  <c r="X98"/>
  <c r="X26"/>
  <c r="AU63"/>
  <c r="F87"/>
  <c r="EM63"/>
  <c r="P87"/>
  <c r="W26"/>
  <c r="F55"/>
  <c r="W98"/>
  <c r="P51"/>
  <c r="ES26"/>
  <c r="ES98"/>
  <c r="T63"/>
  <c r="F89"/>
  <c r="T98"/>
  <c r="T26"/>
  <c r="F52"/>
  <c r="F80"/>
  <c r="Q63"/>
  <c r="P80"/>
  <c r="DI63"/>
  <c r="DQ63"/>
  <c r="P95"/>
  <c r="CP29"/>
  <c r="O29" s="1"/>
  <c r="EP22" l="1"/>
  <c r="P105"/>
  <c r="EP128"/>
  <c r="O31"/>
  <c r="AB26"/>
  <c r="BD22"/>
  <c r="F123"/>
  <c r="BD128"/>
  <c r="W128"/>
  <c r="W22"/>
  <c r="F122"/>
  <c r="X22"/>
  <c r="F124"/>
  <c r="X128"/>
  <c r="EI128"/>
  <c r="EI22"/>
  <c r="P108"/>
  <c r="S63"/>
  <c r="F83"/>
  <c r="S98"/>
  <c r="U22"/>
  <c r="U128"/>
  <c r="F120"/>
  <c r="O68"/>
  <c r="AB63"/>
  <c r="P45"/>
  <c r="DJ26"/>
  <c r="DJ98"/>
  <c r="DM22"/>
  <c r="P120"/>
  <c r="DM128"/>
  <c r="DT68"/>
  <c r="GM66"/>
  <c r="CE63"/>
  <c r="AV68"/>
  <c r="BA22"/>
  <c r="BA128"/>
  <c r="F118"/>
  <c r="AO22"/>
  <c r="AO128"/>
  <c r="F102"/>
  <c r="BB22"/>
  <c r="BB128"/>
  <c r="F111"/>
  <c r="P42"/>
  <c r="ER26"/>
  <c r="Q22"/>
  <c r="F110"/>
  <c r="Q128"/>
  <c r="EU128"/>
  <c r="EU22"/>
  <c r="P114"/>
  <c r="DU63"/>
  <c r="DH68"/>
  <c r="FW68"/>
  <c r="AX26"/>
  <c r="AX98"/>
  <c r="F38"/>
  <c r="R22"/>
  <c r="R128"/>
  <c r="F112"/>
  <c r="P123"/>
  <c r="EV22"/>
  <c r="EV128"/>
  <c r="BC22"/>
  <c r="F114"/>
  <c r="BC128"/>
  <c r="P43"/>
  <c r="DI98"/>
  <c r="DI26"/>
  <c r="DT31"/>
  <c r="GM29"/>
  <c r="P117"/>
  <c r="EM128"/>
  <c r="EM22"/>
  <c r="CA68"/>
  <c r="FR65"/>
  <c r="BY68" s="1"/>
  <c r="P63"/>
  <c r="F71"/>
  <c r="P98"/>
  <c r="EP63"/>
  <c r="P75"/>
  <c r="T22"/>
  <c r="F119"/>
  <c r="T128"/>
  <c r="DO128"/>
  <c r="DO22"/>
  <c r="P122"/>
  <c r="AY26"/>
  <c r="F39"/>
  <c r="DP128"/>
  <c r="DP22"/>
  <c r="P124"/>
  <c r="Y22"/>
  <c r="F125"/>
  <c r="Y128"/>
  <c r="DP63"/>
  <c r="P94"/>
  <c r="DN22"/>
  <c r="P121"/>
  <c r="DN128"/>
  <c r="V22"/>
  <c r="F121"/>
  <c r="V128"/>
  <c r="CA31"/>
  <c r="GO28"/>
  <c r="CC31" s="1"/>
  <c r="AQ22"/>
  <c r="F108"/>
  <c r="AQ128"/>
  <c r="P119"/>
  <c r="DL128"/>
  <c r="DL22"/>
  <c r="AS22"/>
  <c r="F115"/>
  <c r="T16" i="2" s="1"/>
  <c r="AS128" i="1"/>
  <c r="ES22"/>
  <c r="ES128"/>
  <c r="P118"/>
  <c r="DQ22"/>
  <c r="P125"/>
  <c r="DQ128"/>
  <c r="F117"/>
  <c r="AU22"/>
  <c r="AU128"/>
  <c r="P36"/>
  <c r="EN26"/>
  <c r="Y18" l="1"/>
  <c r="F155"/>
  <c r="DQ18"/>
  <c r="P155"/>
  <c r="ES18"/>
  <c r="P148"/>
  <c r="AQ18"/>
  <c r="F138"/>
  <c r="CA26"/>
  <c r="AR31"/>
  <c r="DN18"/>
  <c r="P151"/>
  <c r="DO18"/>
  <c r="P152"/>
  <c r="EM18"/>
  <c r="P147"/>
  <c r="FW63"/>
  <c r="EN68"/>
  <c r="BA18"/>
  <c r="F148"/>
  <c r="FR66"/>
  <c r="FQ68" s="1"/>
  <c r="FS68"/>
  <c r="W18"/>
  <c r="F152"/>
  <c r="F147"/>
  <c r="AU18"/>
  <c r="F151"/>
  <c r="V18"/>
  <c r="T18"/>
  <c r="F149"/>
  <c r="T18" i="2"/>
  <c r="CC26" i="1"/>
  <c r="AT31"/>
  <c r="DT26"/>
  <c r="DG31"/>
  <c r="BC18"/>
  <c r="F144"/>
  <c r="Q18"/>
  <c r="F140"/>
  <c r="U18"/>
  <c r="F150"/>
  <c r="X18"/>
  <c r="F154"/>
  <c r="CI68"/>
  <c r="BY63"/>
  <c r="AP68"/>
  <c r="CH68"/>
  <c r="CF68"/>
  <c r="P159"/>
  <c r="H16" i="2"/>
  <c r="H18" s="1"/>
  <c r="F159" i="1"/>
  <c r="W16" i="2"/>
  <c r="W18" s="1"/>
  <c r="AS18" i="1"/>
  <c r="F145"/>
  <c r="DL18"/>
  <c r="P149"/>
  <c r="DP18"/>
  <c r="P154"/>
  <c r="P22"/>
  <c r="F101"/>
  <c r="P128"/>
  <c r="CA63"/>
  <c r="AR68"/>
  <c r="FS31"/>
  <c r="GO29"/>
  <c r="FU31" s="1"/>
  <c r="EV18"/>
  <c r="P153"/>
  <c r="R18"/>
  <c r="F142"/>
  <c r="EU18"/>
  <c r="P144"/>
  <c r="F141"/>
  <c r="BB18"/>
  <c r="AV63"/>
  <c r="F73"/>
  <c r="AV98"/>
  <c r="DM18"/>
  <c r="P150"/>
  <c r="EI18"/>
  <c r="P138"/>
  <c r="EP18"/>
  <c r="P135"/>
  <c r="DI22"/>
  <c r="P110"/>
  <c r="DI128"/>
  <c r="AX22"/>
  <c r="AX128"/>
  <c r="F105"/>
  <c r="P71"/>
  <c r="DH63"/>
  <c r="DH98"/>
  <c r="AO18"/>
  <c r="F132"/>
  <c r="DT63"/>
  <c r="DG68"/>
  <c r="DJ22"/>
  <c r="P112"/>
  <c r="J16" i="2" s="1"/>
  <c r="J18" s="1"/>
  <c r="DJ128" i="1"/>
  <c r="O63"/>
  <c r="F70"/>
  <c r="S128"/>
  <c r="F113"/>
  <c r="Y16" i="2" s="1"/>
  <c r="Y18" s="1"/>
  <c r="S22" i="1"/>
  <c r="BD18"/>
  <c r="F153"/>
  <c r="O26"/>
  <c r="F33"/>
  <c r="O98"/>
  <c r="AV22" l="1"/>
  <c r="F103"/>
  <c r="AV128"/>
  <c r="FS26"/>
  <c r="EJ31"/>
  <c r="CF63"/>
  <c r="AW68"/>
  <c r="CI63"/>
  <c r="AZ68"/>
  <c r="EH68"/>
  <c r="FQ63"/>
  <c r="GA68"/>
  <c r="FX68"/>
  <c r="FZ68"/>
  <c r="P101"/>
  <c r="DH128"/>
  <c r="DH22"/>
  <c r="EL31"/>
  <c r="FU26"/>
  <c r="P18"/>
  <c r="F131"/>
  <c r="AT26"/>
  <c r="F49"/>
  <c r="AT98"/>
  <c r="FS63"/>
  <c r="EJ68"/>
  <c r="P73"/>
  <c r="EN63"/>
  <c r="EN98"/>
  <c r="F59"/>
  <c r="AR26"/>
  <c r="AR98"/>
  <c r="O128"/>
  <c r="O22"/>
  <c r="F100"/>
  <c r="F143"/>
  <c r="S18"/>
  <c r="DI18"/>
  <c r="P140"/>
  <c r="P142"/>
  <c r="DJ18"/>
  <c r="AP63"/>
  <c r="F77"/>
  <c r="AP98"/>
  <c r="DG63"/>
  <c r="P70"/>
  <c r="F135"/>
  <c r="AX18"/>
  <c r="F96"/>
  <c r="AR63"/>
  <c r="CH63"/>
  <c r="AY68"/>
  <c r="DG26"/>
  <c r="P33"/>
  <c r="DG98"/>
  <c r="AP22" l="1"/>
  <c r="AP128"/>
  <c r="F107"/>
  <c r="V16" i="2" s="1"/>
  <c r="V18" s="1"/>
  <c r="O18" i="1"/>
  <c r="F130"/>
  <c r="P103"/>
  <c r="EN22"/>
  <c r="EN128"/>
  <c r="EO68"/>
  <c r="FX63"/>
  <c r="AZ63"/>
  <c r="F79"/>
  <c r="AZ98"/>
  <c r="P59"/>
  <c r="EJ98"/>
  <c r="EJ26"/>
  <c r="EJ63"/>
  <c r="P96"/>
  <c r="P49"/>
  <c r="EL26"/>
  <c r="EL98"/>
  <c r="FZ63"/>
  <c r="EQ68"/>
  <c r="EH63"/>
  <c r="P77"/>
  <c r="EH98"/>
  <c r="DG128"/>
  <c r="DG22"/>
  <c r="P100"/>
  <c r="F74"/>
  <c r="AW63"/>
  <c r="AW98"/>
  <c r="AV18"/>
  <c r="F133"/>
  <c r="AY63"/>
  <c r="F76"/>
  <c r="AY98"/>
  <c r="AR22"/>
  <c r="F126"/>
  <c r="AR128"/>
  <c r="AT22"/>
  <c r="AT128"/>
  <c r="F116"/>
  <c r="DH18"/>
  <c r="P131"/>
  <c r="GA63"/>
  <c r="ER68"/>
  <c r="AY22" l="1"/>
  <c r="F106"/>
  <c r="AY128"/>
  <c r="EL22"/>
  <c r="EL128"/>
  <c r="P116"/>
  <c r="AZ22"/>
  <c r="F109"/>
  <c r="AZ128"/>
  <c r="P74"/>
  <c r="EO63"/>
  <c r="EO98"/>
  <c r="AT18"/>
  <c r="F146"/>
  <c r="EH22"/>
  <c r="P107"/>
  <c r="G16" i="2" s="1"/>
  <c r="G18" s="1"/>
  <c r="EH128" i="1"/>
  <c r="F137"/>
  <c r="AP18"/>
  <c r="F158"/>
  <c r="U16" i="2"/>
  <c r="EJ22" i="1"/>
  <c r="EJ128"/>
  <c r="P126"/>
  <c r="P79"/>
  <c r="ER63"/>
  <c r="ER98"/>
  <c r="DG18"/>
  <c r="P130"/>
  <c r="EQ63"/>
  <c r="P76"/>
  <c r="EQ98"/>
  <c r="AR18"/>
  <c r="F156"/>
  <c r="AW22"/>
  <c r="AW128"/>
  <c r="F104"/>
  <c r="EN18"/>
  <c r="P133"/>
  <c r="AW18" l="1"/>
  <c r="F134"/>
  <c r="U18" i="2"/>
  <c r="X16"/>
  <c r="X18" s="1"/>
  <c r="EH18" i="1"/>
  <c r="P137"/>
  <c r="AZ18"/>
  <c r="F139"/>
  <c r="P146"/>
  <c r="EL18"/>
  <c r="EQ128"/>
  <c r="EQ22"/>
  <c r="P106"/>
  <c r="EO22"/>
  <c r="P104"/>
  <c r="EO128"/>
  <c r="P158"/>
  <c r="F16" i="2"/>
  <c r="P109" i="1"/>
  <c r="ER22"/>
  <c r="ER128"/>
  <c r="EJ18"/>
  <c r="P156"/>
  <c r="AY18"/>
  <c r="F136"/>
  <c r="F157"/>
  <c r="EO18" l="1"/>
  <c r="P134"/>
  <c r="ER18"/>
  <c r="P139"/>
  <c r="F18" i="2"/>
  <c r="I16"/>
  <c r="I18" s="1"/>
  <c r="EQ18" i="1"/>
  <c r="P136"/>
  <c r="P157"/>
</calcChain>
</file>

<file path=xl/sharedStrings.xml><?xml version="1.0" encoding="utf-8"?>
<sst xmlns="http://schemas.openxmlformats.org/spreadsheetml/2006/main" count="1302" uniqueCount="190">
  <si>
    <t>Smeta.RU  (495) 974-1589</t>
  </si>
  <si>
    <t>_PS_</t>
  </si>
  <si>
    <t>Smeta.RU</t>
  </si>
  <si>
    <t>АО "СПКБРР"  Доп. раб. место  MCCS-0021997</t>
  </si>
  <si>
    <t/>
  </si>
  <si>
    <t>02-01-04  Реконструкция ТП 27616 _24.04.25._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</si>
  <si>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</si>
  <si>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</si>
  <si>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</si>
  <si>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</si>
  <si>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</si>
  <si>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</si>
  <si>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</si>
  <si>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</si>
  <si>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02-01-04</t>
  </si>
  <si>
    <t>Реконструкция ТП 27616</t>
  </si>
  <si>
    <t>ДУ.ЭТ-2025-02-04-КЛ10.ЭС</t>
  </si>
  <si>
    <t>Новый раздел</t>
  </si>
  <si>
    <t>Монтажные работы</t>
  </si>
  <si>
    <t>1</t>
  </si>
  <si>
    <t>4.8-62-1</t>
  </si>
  <si>
    <t>Монтаж шкафа комплектного распределительных устройств с выключателем напряжением 6-10 кВ на ток до 3200 А</t>
  </si>
  <si>
    <t>1  ШТ.</t>
  </si>
  <si>
    <t>ТСН-2001.4 Доп. 69, Сб. 8, т. 62, поз. 1</t>
  </si>
  <si>
    <t>Монтаж оборудования</t>
  </si>
  <si>
    <t>ТСН-2001.4-8. 8-28...8-72</t>
  </si>
  <si>
    <t>ТСН-2001.4-8-2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</si>
  <si>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</si>
  <si>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</si>
  <si>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</si>
  <si>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</si>
  <si>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</si>
  <si>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</si>
  <si>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</si>
  <si>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</si>
  <si>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</si>
  <si>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</si>
  <si>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</si>
  <si>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</si>
  <si>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</si>
  <si>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</si>
  <si>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</si>
  <si>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</si>
  <si>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</si>
  <si>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</si>
  <si>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</si>
  <si>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</si>
  <si>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</si>
  <si>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</si>
  <si>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</si>
  <si>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</si>
  <si>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</si>
  <si>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</si>
  <si>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</si>
  <si>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</si>
  <si>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</si>
  <si>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</si>
  <si>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</si>
  <si>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</si>
  <si>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</si>
  <si>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</si>
  <si>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</si>
  <si>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</si>
  <si>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</si>
  <si>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</si>
  <si>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</si>
  <si>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</si>
  <si>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</si>
  <si>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</si>
  <si>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</si>
  <si>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</si>
  <si>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</si>
  <si>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</si>
  <si>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</si>
  <si>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</si>
  <si>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</si>
  <si>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</si>
  <si>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</si>
  <si>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</si>
  <si>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</si>
  <si>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</si>
  <si>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Оборудование</t>
  </si>
  <si>
    <t>2</t>
  </si>
  <si>
    <t>Цена поставщика</t>
  </si>
  <si>
    <t>Ячейки</t>
  </si>
  <si>
    <t>шт.</t>
  </si>
  <si>
    <t>Материалы</t>
  </si>
  <si>
    <t>Материалы, изделия и конструкции</t>
  </si>
  <si>
    <t>[4 620 039,6 / 1,2 /  7,27] +  3% Трансп +  1,2% Заг.скл</t>
  </si>
  <si>
    <t>3</t>
  </si>
  <si>
    <t>1,2</t>
  </si>
  <si>
    <t>в т.ч.</t>
  </si>
  <si>
    <t>Строительные работы</t>
  </si>
  <si>
    <t>Мон</t>
  </si>
  <si>
    <t>ПНР и Пр</t>
  </si>
  <si>
    <t>Прочие работы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</si>
  <si>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</si>
  <si>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</si>
  <si>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</si>
  <si>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</si>
  <si>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</si>
  <si>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</si>
  <si>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</si>
  <si>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</si>
  <si>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</si>
  <si>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</si>
  <si>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</si>
  <si>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</si>
  <si>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9999990008</t>
  </si>
  <si>
    <t>Трудозатраты рабочих</t>
  </si>
  <si>
    <t>чел.-ч.</t>
  </si>
  <si>
    <t>2.1-13-14</t>
  </si>
  <si>
    <t>ТСН-2001.2. Доп. 68. п.1-13-14 (136001)</t>
  </si>
  <si>
    <t>Аппараты сварочные постоянного тока (выпрямители) для ручной дуговой сварки, сварочный ток до 500 А</t>
  </si>
  <si>
    <t>маш.-ч</t>
  </si>
  <si>
    <t>2.1-18-7</t>
  </si>
  <si>
    <t>ТСН-2001.2. Доп. 68. п.1-18-7 (183001)</t>
  </si>
  <si>
    <t>Автомобили грузовые бортовые, грузоподъемность до 5 т</t>
  </si>
  <si>
    <t>2.1-4-37</t>
  </si>
  <si>
    <t>ТСН-2001.2. Доп. 68. п.1-4-37 (042909)</t>
  </si>
  <si>
    <t>Лебедки электрические, тяговое усилие до 156,96 кН (16 тc)</t>
  </si>
  <si>
    <t>1.1-1-1063</t>
  </si>
  <si>
    <t>ТСН-2001.1 Доп. 65, Р. 1, о. 1, поз. 1063</t>
  </si>
  <si>
    <t>Спирт этиловый ректификат</t>
  </si>
  <si>
    <t>кг</t>
  </si>
  <si>
    <t>1.1-1-1092</t>
  </si>
  <si>
    <t>ТСН-2001.1 Доп. 48, Р. 1, о. 1, поз. 1092</t>
  </si>
  <si>
    <t>Полоса из стали углеродистой обыкновенного качества, спокойной</t>
  </si>
  <si>
    <t>т</t>
  </si>
  <si>
    <t>1.1-1-1577</t>
  </si>
  <si>
    <t>ТСН-2001.1 Доп. 67, Р. 1, о. 1, поз. 1577</t>
  </si>
  <si>
    <t>Эмаль пентафталевая, цветная, типа ПФ-115</t>
  </si>
  <si>
    <t>1.1-1-2558</t>
  </si>
  <si>
    <t>ТСН-2001.1 Доп. 68, Р. 1, о. 1, поз. 2558</t>
  </si>
  <si>
    <t>Смазка пластичная, антифрикционная, водостойкая, типа Литол-24</t>
  </si>
  <si>
    <t>1.1-1-7959</t>
  </si>
  <si>
    <t>ТСН-2001.1 Доп. 64, Р. 1, о. 1, поз. 7959</t>
  </si>
  <si>
    <t>Миткаль суровый, ширина 900 мм, плотность 67 г/м2</t>
  </si>
  <si>
    <t>10 м</t>
  </si>
  <si>
    <t>1.21-5-798</t>
  </si>
  <si>
    <t>ТСН-2001.1 Доп. 67, Р. 21, о. 5, поз. 798</t>
  </si>
  <si>
    <t>Лента монтажная, типа ЛМ-5</t>
  </si>
  <si>
    <t>м</t>
  </si>
  <si>
    <t>1297020000</t>
  </si>
  <si>
    <t>Болты строительные с гайками и шайбами (1297030000, 1610000000, 1620000000, 1680000000)</t>
  </si>
  <si>
    <t>3414710000</t>
  </si>
  <si>
    <t>Шкафы комплектные распределительных устройств с выключателем напряжением 6-10 кВ на ток до 3200 А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</si>
  <si>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</si>
  <si>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</si>
  <si>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</si>
  <si>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</si>
  <si>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</si>
  <si>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</si>
  <si>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Работы по монтажу оборудования</t>
  </si>
  <si>
    <t>Прочие работы и затраты</t>
  </si>
  <si>
    <t>Средства на оплату труда</t>
  </si>
  <si>
    <t>Затраты труда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</si>
  <si>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</si>
  <si>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</si>
  <si>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</si>
  <si>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</si>
  <si>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</si>
  <si>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</si>
  <si>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</si>
  <si>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</si>
  <si>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</si>
  <si>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</si>
  <si>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</si>
  <si>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</si>
  <si>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</si>
  <si>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</si>
  <si>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</si>
  <si>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ЗП</t>
  </si>
  <si>
    <t>ЭМ</t>
  </si>
  <si>
    <t>в т.ч. ЗПМ</t>
  </si>
  <si>
    <t>МР</t>
  </si>
  <si>
    <t>НР от ЗП</t>
  </si>
  <si>
    <t>%</t>
  </si>
  <si>
    <t>СП от ЗП</t>
  </si>
  <si>
    <t>НР и СП от ЗПМ</t>
  </si>
  <si>
    <t>ЗТР</t>
  </si>
  <si>
    <t>чел-ч</t>
  </si>
  <si>
    <t>ВСЕГО работ по позиции:</t>
  </si>
  <si>
    <t>ВСЕГО оборудование по позиции:</t>
  </si>
  <si>
    <t xml:space="preserve">   Итого по ТСН-2001.16</t>
  </si>
  <si>
    <t xml:space="preserve">   Итого возвратных сумм</t>
  </si>
  <si>
    <t>ВСЕГО по позиции:</t>
  </si>
  <si>
    <t xml:space="preserve"> тыс.руб.</t>
  </si>
  <si>
    <t>ЛОКАЛЬНАЯ СМЕТА № 02-01-04</t>
  </si>
  <si>
    <r>
      <t>Ячейки</t>
    </r>
    <r>
      <rPr>
        <i/>
        <sz val="10"/>
        <rFont val="Times New Roman"/>
        <family val="1"/>
        <charset val="204"/>
      </rPr>
      <t xml:space="preserve">
552 011,06 = [4 620 039,6 / 1,2 /  7,27] +  3% Трансп +  1,2% Заг.скл</t>
    </r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</si>
</sst>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2">
    <font>
      <sz val="10"/>
      <name val="Arial"/>
      <charset val="204"/>
    </font>
    <font>
      <b/>
      <sz val="10"/>
      <color indexed="12"/>
      <name val="Arial"/>
      <charset val="204"/>
    </font>
    <font>
      <sz val="10"/>
      <color indexed="18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sz val="10"/>
      <color indexed="16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  <xf numFmtId="0" fontId="12" fillId="0" borderId="1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/>
    </xf>
    <xf numFmtId="164" fontId="18" fillId="0" borderId="0" xfId="0" applyNumberFormat="1" applyFont="1"/>
    <xf numFmtId="0" fontId="18" fillId="0" borderId="0" xfId="0" applyFont="1"/>
    <xf numFmtId="0" fontId="12" fillId="0" borderId="0" xfId="0" applyFont="1" applyAlignment="1">
      <alignment horizontal="left"/>
    </xf>
    <xf numFmtId="164" fontId="12" fillId="0" borderId="0" xfId="0" applyNumberFormat="1" applyFont="1"/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12" fillId="0" borderId="0" xfId="0" applyFont="1" applyAlignment="1">
      <alignment horizontal="left" vertical="top" wrapText="1"/>
    </xf>
    <xf numFmtId="0" fontId="20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164" fontId="18" fillId="0" borderId="2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0"/>
  <sheetViews>
    <sheetView tabSelected="1" zoomScaleNormal="100" workbookViewId="0">
      <selection activeCell="A2" sqref="A2:K2"/>
    </sheetView>
  </sheetViews>
  <sheetFormatPr defaultRowHeight="12.7"/>
  <cols>
    <col min="1" max="1" width="5.77734375" style="13" customWidth="1"/>
    <col min="2" max="2" width="11.77734375" style="13" customWidth="1"/>
    <col min="3" max="3" width="40.77734375" style="13" customWidth="1"/>
    <col min="4" max="4" width="11.77734375" style="13" customWidth="1"/>
    <col min="5" max="5" width="8" style="13" bestFit="1" customWidth="1"/>
    <col min="6" max="6" width="11.88671875" style="13" bestFit="1" customWidth="1"/>
    <col min="7" max="7" width="8.88671875" style="13"/>
    <col min="8" max="8" width="9.5546875" style="13" bestFit="1" customWidth="1"/>
    <col min="9" max="9" width="13.77734375" style="13" bestFit="1" customWidth="1"/>
    <col min="10" max="10" width="12" style="13" bestFit="1" customWidth="1"/>
    <col min="11" max="11" width="13.77734375" style="13" bestFit="1" customWidth="1"/>
    <col min="12" max="13" width="8.88671875" style="13"/>
    <col min="14" max="41" width="0" style="13" hidden="1" customWidth="1"/>
    <col min="42" max="42" width="127.5546875" style="13" hidden="1" customWidth="1"/>
    <col min="43" max="47" width="0" style="13" hidden="1" customWidth="1"/>
    <col min="48" max="16384" width="8.88671875" style="13"/>
  </cols>
  <sheetData>
    <row r="1" spans="1:11" ht="14.4">
      <c r="A1" s="11"/>
      <c r="B1" s="11"/>
      <c r="C1" s="11"/>
      <c r="D1" s="11"/>
      <c r="E1" s="11"/>
      <c r="F1" s="11"/>
      <c r="G1" s="11"/>
      <c r="H1" s="11"/>
      <c r="I1" s="11"/>
      <c r="J1" s="12" t="s">
        <v>169</v>
      </c>
      <c r="K1" s="12"/>
    </row>
    <row r="2" spans="1:11" ht="48.4" customHeight="1">
      <c r="A2" s="14" t="str">
        <f>Source!U20</f>
        <v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>
      <c r="A3" s="15" t="s">
        <v>148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14.4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55">
      <c r="A5" s="14" t="s">
        <v>188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4.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7.3">
      <c r="A7" s="17" t="str">
        <f>Source!G20</f>
        <v>Реконструкция ТП 27616</v>
      </c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11">
      <c r="A8" s="18" t="s">
        <v>149</v>
      </c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14.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4.4">
      <c r="A10" s="20" t="str">
        <f>CONCATENATE( "Основание: чертежи № ", Source!J12)</f>
        <v xml:space="preserve">Основание: чертежи № 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</row>
    <row r="11" spans="1:11" ht="14.4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ht="28.8">
      <c r="A12" s="11"/>
      <c r="B12" s="11"/>
      <c r="C12" s="11"/>
      <c r="D12" s="11"/>
      <c r="E12" s="11"/>
      <c r="F12" s="11"/>
      <c r="G12" s="11"/>
      <c r="H12" s="11"/>
      <c r="I12" s="22" t="s">
        <v>150</v>
      </c>
      <c r="J12" s="22" t="s">
        <v>151</v>
      </c>
      <c r="K12" s="11"/>
    </row>
    <row r="13" spans="1:11" ht="14.4">
      <c r="A13" s="11"/>
      <c r="B13" s="11"/>
      <c r="C13" s="11"/>
      <c r="D13" s="11"/>
      <c r="E13" s="23" t="s">
        <v>152</v>
      </c>
      <c r="F13" s="23"/>
      <c r="G13" s="23"/>
      <c r="H13" s="23"/>
      <c r="I13" s="24">
        <f>I14+I15+I16+I17</f>
        <v>1108.58</v>
      </c>
      <c r="J13" s="24">
        <f>J14+J15+J16+J17</f>
        <v>8174.78</v>
      </c>
      <c r="K13" s="25" t="s">
        <v>187</v>
      </c>
    </row>
    <row r="14" spans="1:11" ht="14.4">
      <c r="A14" s="11"/>
      <c r="B14" s="11"/>
      <c r="C14" s="11"/>
      <c r="D14" s="11"/>
      <c r="E14" s="26" t="s">
        <v>92</v>
      </c>
      <c r="F14" s="26"/>
      <c r="G14" s="26"/>
      <c r="H14" s="26"/>
      <c r="I14" s="27">
        <f>ROUND(SUM(X1:X61)/1000, 2)</f>
        <v>0</v>
      </c>
      <c r="J14" s="27">
        <f>ROUND((Source!P145)/1000, 2)</f>
        <v>0</v>
      </c>
      <c r="K14" s="11" t="s">
        <v>187</v>
      </c>
    </row>
    <row r="15" spans="1:11" ht="14.4">
      <c r="A15" s="11"/>
      <c r="B15" s="11"/>
      <c r="C15" s="11"/>
      <c r="D15" s="11"/>
      <c r="E15" s="26" t="s">
        <v>153</v>
      </c>
      <c r="F15" s="26"/>
      <c r="G15" s="26"/>
      <c r="H15" s="26"/>
      <c r="I15" s="27">
        <f>ROUND(SUM(Y1:Y61)/1000, 2)</f>
        <v>4.5599999999999996</v>
      </c>
      <c r="J15" s="27">
        <f>ROUND((Source!P146)/1000, 2)</f>
        <v>148.54</v>
      </c>
      <c r="K15" s="11" t="s">
        <v>187</v>
      </c>
    </row>
    <row r="16" spans="1:11" ht="14.4">
      <c r="A16" s="11"/>
      <c r="B16" s="11"/>
      <c r="C16" s="11"/>
      <c r="D16" s="11"/>
      <c r="E16" s="26" t="s">
        <v>81</v>
      </c>
      <c r="F16" s="26"/>
      <c r="G16" s="26"/>
      <c r="H16" s="26"/>
      <c r="I16" s="27">
        <f>ROUND(SUM(Z1:Z61)/1000, 2)</f>
        <v>1104.02</v>
      </c>
      <c r="J16" s="27">
        <f>ROUND((Source!P137)/1000, 2)</f>
        <v>8026.24</v>
      </c>
      <c r="K16" s="11" t="s">
        <v>187</v>
      </c>
    </row>
    <row r="17" spans="1:42" ht="14.4">
      <c r="A17" s="11"/>
      <c r="B17" s="11"/>
      <c r="C17" s="11"/>
      <c r="D17" s="11"/>
      <c r="E17" s="26" t="s">
        <v>154</v>
      </c>
      <c r="F17" s="26"/>
      <c r="G17" s="26"/>
      <c r="H17" s="26"/>
      <c r="I17" s="27">
        <f>ROUND(SUM(AA1:AA61)/1000, 2)</f>
        <v>0</v>
      </c>
      <c r="J17" s="27">
        <f>ROUND((Source!P147+Source!P148)/1000, 2)</f>
        <v>0</v>
      </c>
      <c r="K17" s="11" t="s">
        <v>187</v>
      </c>
    </row>
    <row r="18" spans="1:42" ht="14.4">
      <c r="A18" s="11"/>
      <c r="B18" s="11"/>
      <c r="C18" s="11"/>
      <c r="D18" s="11"/>
      <c r="E18" s="26" t="s">
        <v>155</v>
      </c>
      <c r="F18" s="26"/>
      <c r="G18" s="26"/>
      <c r="H18" s="26"/>
      <c r="I18" s="27">
        <f>ROUND(SUM(W1:W61)/1000, 2)</f>
        <v>1.17</v>
      </c>
      <c r="J18" s="27">
        <f>((Source!P143 + Source!P142)/1000)</f>
        <v>54.615099999999998</v>
      </c>
      <c r="K18" s="11" t="s">
        <v>187</v>
      </c>
    </row>
    <row r="19" spans="1:42" ht="14.4">
      <c r="A19" s="11"/>
      <c r="B19" s="11"/>
      <c r="C19" s="11"/>
      <c r="D19" s="11"/>
      <c r="E19" s="26" t="s">
        <v>156</v>
      </c>
      <c r="F19" s="26"/>
      <c r="G19" s="26"/>
      <c r="H19" s="26"/>
      <c r="I19" s="27">
        <f>SUM(AB1:AB61)</f>
        <v>60.307199999999995</v>
      </c>
      <c r="J19" s="27"/>
      <c r="K19" s="11" t="s">
        <v>110</v>
      </c>
    </row>
    <row r="20" spans="1:42" ht="14.4" hidden="1">
      <c r="A20" s="11"/>
      <c r="B20" s="11"/>
      <c r="C20" s="11"/>
      <c r="D20" s="11"/>
      <c r="E20" s="28" t="s">
        <v>157</v>
      </c>
      <c r="F20" s="28"/>
      <c r="G20" s="28"/>
      <c r="H20" s="28"/>
      <c r="I20" s="27"/>
      <c r="J20" s="27"/>
      <c r="K20" s="11"/>
    </row>
    <row r="21" spans="1:42" ht="14.4" hidden="1">
      <c r="A21" s="11"/>
      <c r="B21" s="11"/>
      <c r="C21" s="11"/>
      <c r="D21" s="11"/>
      <c r="E21" s="29" t="s">
        <v>66</v>
      </c>
      <c r="F21" s="29"/>
      <c r="G21" s="29"/>
      <c r="H21" s="29"/>
      <c r="I21" s="27">
        <f>ROUND(SUM(AE1:AE61)/1000, 2)</f>
        <v>0</v>
      </c>
      <c r="J21" s="27">
        <f>SUM(AF1:AF61)/1000</f>
        <v>0</v>
      </c>
      <c r="K21" s="11" t="s">
        <v>187</v>
      </c>
    </row>
    <row r="22" spans="1:42" ht="14.4">
      <c r="A22" s="11"/>
      <c r="B22" s="11"/>
      <c r="C22" s="11"/>
      <c r="D22" s="11"/>
      <c r="E22" s="11"/>
      <c r="F22" s="30"/>
      <c r="G22" s="30"/>
      <c r="H22" s="30"/>
      <c r="I22" s="27"/>
      <c r="J22" s="27"/>
      <c r="K22" s="11"/>
    </row>
    <row r="23" spans="1:42" ht="14.4">
      <c r="A23" s="11" t="s">
        <v>170</v>
      </c>
      <c r="B23" s="11"/>
      <c r="C23" s="11"/>
      <c r="D23" s="11"/>
      <c r="E23" s="11"/>
      <c r="F23" s="30"/>
      <c r="G23" s="30"/>
      <c r="H23" s="30"/>
      <c r="I23" s="27"/>
      <c r="J23" s="27"/>
      <c r="K23" s="11"/>
    </row>
    <row r="24" spans="1:42" ht="28.8">
      <c r="A24" s="20" t="s">
        <v>171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AP24" s="31" t="s">
        <v>171</v>
      </c>
    </row>
    <row r="25" spans="1:42" ht="100.8">
      <c r="A25" s="32" t="s">
        <v>158</v>
      </c>
      <c r="B25" s="32" t="s">
        <v>159</v>
      </c>
      <c r="C25" s="32" t="s">
        <v>160</v>
      </c>
      <c r="D25" s="32" t="s">
        <v>161</v>
      </c>
      <c r="E25" s="32" t="s">
        <v>162</v>
      </c>
      <c r="F25" s="32" t="s">
        <v>163</v>
      </c>
      <c r="G25" s="33" t="s">
        <v>164</v>
      </c>
      <c r="H25" s="33" t="s">
        <v>165</v>
      </c>
      <c r="I25" s="32" t="s">
        <v>166</v>
      </c>
      <c r="J25" s="32" t="s">
        <v>167</v>
      </c>
      <c r="K25" s="32" t="s">
        <v>168</v>
      </c>
    </row>
    <row r="26" spans="1:42" ht="14.4">
      <c r="A26" s="32">
        <v>1</v>
      </c>
      <c r="B26" s="32">
        <v>2</v>
      </c>
      <c r="C26" s="32">
        <v>3</v>
      </c>
      <c r="D26" s="32">
        <v>4</v>
      </c>
      <c r="E26" s="32">
        <v>5</v>
      </c>
      <c r="F26" s="32">
        <v>6</v>
      </c>
      <c r="G26" s="32">
        <v>7</v>
      </c>
      <c r="H26" s="32">
        <v>8</v>
      </c>
      <c r="I26" s="32">
        <v>9</v>
      </c>
      <c r="J26" s="32">
        <v>10</v>
      </c>
      <c r="K26" s="32">
        <v>11</v>
      </c>
    </row>
    <row r="28" spans="1:42" ht="16.7">
      <c r="A28" s="34" t="str">
        <f>CONCATENATE("Локальная смета: ",IF(Source!G20&lt;&gt;"Новая локальная смета", Source!G20, ""))</f>
        <v>Локальная смета: Реконструкция ТП 27616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</row>
    <row r="30" spans="1:42" ht="16.7">
      <c r="A30" s="34" t="str">
        <f>CONCATENATE("Раздел: ",IF(Source!G24&lt;&gt;"Новый раздел", Source!G24, ""))</f>
        <v>Раздел: Монтажные работы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</row>
    <row r="31" spans="1:42" ht="57.6">
      <c r="A31" s="35">
        <v>1</v>
      </c>
      <c r="B31" s="35" t="str">
        <f>Source!F29</f>
        <v>4.8-62-1</v>
      </c>
      <c r="C31" s="35" t="s">
        <v>21</v>
      </c>
      <c r="D31" s="36" t="str">
        <f>Source!H29</f>
        <v>1  ШТ.</v>
      </c>
      <c r="E31" s="37">
        <f>Source!I29</f>
        <v>2</v>
      </c>
      <c r="F31" s="38"/>
      <c r="G31" s="39"/>
      <c r="H31" s="37"/>
      <c r="I31" s="38"/>
      <c r="J31" s="37"/>
      <c r="K31" s="38"/>
      <c r="Q31" s="13">
        <f>ROUND((Source!DN29/100)*ROUND((ROUND((Source!AF29*Source!AV29*Source!I29),2)),2), 2)</f>
        <v>852.42</v>
      </c>
      <c r="R31" s="13">
        <f>Source!X29</f>
        <v>32678.46</v>
      </c>
      <c r="S31" s="13">
        <f>ROUND((Source!DO29/100)*ROUND((ROUND((Source!AF29*Source!AV29*Source!I29),2)),2), 2)</f>
        <v>532.76</v>
      </c>
      <c r="T31" s="13">
        <f>Source!Y29</f>
        <v>15273.63</v>
      </c>
      <c r="U31" s="13">
        <f>ROUND((175/100)*ROUND((ROUND((Source!AE29*Source!AV29*Source!I29),2)),2), 2)</f>
        <v>716.01</v>
      </c>
      <c r="V31" s="13">
        <f>ROUND((160/100)*ROUND(ROUND((ROUND((Source!AE29*Source!AV29*Source!I29),2)*Source!BS29),2), 2), 2)</f>
        <v>30552.05</v>
      </c>
      <c r="AI31" s="13">
        <v>0</v>
      </c>
    </row>
    <row r="32" spans="1:42" ht="14.4">
      <c r="A32" s="35"/>
      <c r="B32" s="35"/>
      <c r="C32" s="35" t="s">
        <v>172</v>
      </c>
      <c r="D32" s="36"/>
      <c r="E32" s="37"/>
      <c r="F32" s="38">
        <f>Source!AO29</f>
        <v>363.46</v>
      </c>
      <c r="G32" s="39" t="str">
        <f>Source!DG29</f>
        <v/>
      </c>
      <c r="H32" s="37">
        <f>Source!AV29</f>
        <v>1.0469999999999999</v>
      </c>
      <c r="I32" s="38">
        <f>ROUND((ROUND((Source!AF29*Source!AV29*Source!I29),2)),2)</f>
        <v>761.09</v>
      </c>
      <c r="J32" s="37">
        <f>IF(Source!BA29&lt;&gt; 0, Source!BA29, 1)</f>
        <v>46.67</v>
      </c>
      <c r="K32" s="38">
        <f>Source!S29</f>
        <v>35520.07</v>
      </c>
      <c r="W32" s="13">
        <f>I32</f>
        <v>761.09</v>
      </c>
    </row>
    <row r="33" spans="1:28" ht="14.4">
      <c r="A33" s="35"/>
      <c r="B33" s="35"/>
      <c r="C33" s="35" t="s">
        <v>173</v>
      </c>
      <c r="D33" s="36"/>
      <c r="E33" s="37"/>
      <c r="F33" s="38">
        <f>Source!AM29</f>
        <v>727.52</v>
      </c>
      <c r="G33" s="39" t="str">
        <f>Source!DE29</f>
        <v/>
      </c>
      <c r="H33" s="37">
        <f>Source!AV29</f>
        <v>1.0469999999999999</v>
      </c>
      <c r="I33" s="38">
        <f>(ROUND((ROUND(((Source!ET29)*Source!AV29*Source!I29),2)),2)+ROUND((ROUND(((Source!AE29-(Source!EU29))*Source!AV29*Source!I29),2)),2))</f>
        <v>1523.43</v>
      </c>
      <c r="J33" s="37">
        <f>IF(Source!BB29&lt;&gt; 0, Source!BB29, 1)</f>
        <v>19.55</v>
      </c>
      <c r="K33" s="38">
        <f>Source!Q29</f>
        <v>29783.06</v>
      </c>
    </row>
    <row r="34" spans="1:28" ht="14.4">
      <c r="A34" s="35"/>
      <c r="B34" s="35"/>
      <c r="C34" s="35" t="s">
        <v>174</v>
      </c>
      <c r="D34" s="36"/>
      <c r="E34" s="37"/>
      <c r="F34" s="38">
        <f>Source!AN29</f>
        <v>195.39</v>
      </c>
      <c r="G34" s="39" t="str">
        <f>Source!DF29</f>
        <v/>
      </c>
      <c r="H34" s="37">
        <f>Source!AV29</f>
        <v>1.0469999999999999</v>
      </c>
      <c r="I34" s="40">
        <f>ROUND((ROUND((Source!AE29*Source!AV29*Source!I29),2)),2)</f>
        <v>409.15</v>
      </c>
      <c r="J34" s="37">
        <f>IF(Source!BS29&lt;&gt; 0, Source!BS29, 1)</f>
        <v>46.67</v>
      </c>
      <c r="K34" s="40">
        <f>Source!R29</f>
        <v>19095.03</v>
      </c>
      <c r="W34" s="13">
        <f>I34</f>
        <v>409.15</v>
      </c>
    </row>
    <row r="35" spans="1:28" ht="14.4">
      <c r="A35" s="35"/>
      <c r="B35" s="35"/>
      <c r="C35" s="35" t="s">
        <v>175</v>
      </c>
      <c r="D35" s="36"/>
      <c r="E35" s="37"/>
      <c r="F35" s="38">
        <f>Source!AL29</f>
        <v>87.22</v>
      </c>
      <c r="G35" s="39" t="str">
        <f>Source!DD29</f>
        <v/>
      </c>
      <c r="H35" s="37">
        <f>Source!AW29</f>
        <v>1</v>
      </c>
      <c r="I35" s="38">
        <f>ROUND((ROUND((Source!AC29*Source!AW29*Source!I29),2)),2)</f>
        <v>174.44</v>
      </c>
      <c r="J35" s="37">
        <f>IF(Source!BC29&lt;&gt; 0, Source!BC29, 1)</f>
        <v>27.14</v>
      </c>
      <c r="K35" s="38">
        <f>Source!P29</f>
        <v>4734.3</v>
      </c>
    </row>
    <row r="36" spans="1:28" ht="14.4">
      <c r="A36" s="35"/>
      <c r="B36" s="35"/>
      <c r="C36" s="35" t="s">
        <v>176</v>
      </c>
      <c r="D36" s="36" t="s">
        <v>177</v>
      </c>
      <c r="E36" s="37">
        <f>Source!DN29</f>
        <v>112</v>
      </c>
      <c r="F36" s="38"/>
      <c r="G36" s="39"/>
      <c r="H36" s="37"/>
      <c r="I36" s="38">
        <f>SUM(Q31:Q35)</f>
        <v>852.42</v>
      </c>
      <c r="J36" s="37">
        <f>Source!BZ29</f>
        <v>92</v>
      </c>
      <c r="K36" s="38">
        <f>SUM(R31:R35)</f>
        <v>32678.46</v>
      </c>
    </row>
    <row r="37" spans="1:28" ht="14.4">
      <c r="A37" s="35"/>
      <c r="B37" s="35"/>
      <c r="C37" s="35" t="s">
        <v>178</v>
      </c>
      <c r="D37" s="36" t="s">
        <v>177</v>
      </c>
      <c r="E37" s="37">
        <f>Source!DO29</f>
        <v>70</v>
      </c>
      <c r="F37" s="38"/>
      <c r="G37" s="39"/>
      <c r="H37" s="37"/>
      <c r="I37" s="38">
        <f>SUM(S31:S36)</f>
        <v>532.76</v>
      </c>
      <c r="J37" s="37">
        <f>Source!CA29</f>
        <v>43</v>
      </c>
      <c r="K37" s="38">
        <f>SUM(T31:T36)</f>
        <v>15273.63</v>
      </c>
    </row>
    <row r="38" spans="1:28" ht="14.4">
      <c r="A38" s="35"/>
      <c r="B38" s="35"/>
      <c r="C38" s="35" t="s">
        <v>179</v>
      </c>
      <c r="D38" s="36" t="s">
        <v>177</v>
      </c>
      <c r="E38" s="37">
        <f>175</f>
        <v>175</v>
      </c>
      <c r="F38" s="38"/>
      <c r="G38" s="39"/>
      <c r="H38" s="37"/>
      <c r="I38" s="38">
        <f>SUM(U31:U37)</f>
        <v>716.01</v>
      </c>
      <c r="J38" s="37">
        <f>160</f>
        <v>160</v>
      </c>
      <c r="K38" s="38">
        <f>SUM(V31:V37)</f>
        <v>30552.05</v>
      </c>
    </row>
    <row r="39" spans="1:28" ht="14.4">
      <c r="A39" s="41"/>
      <c r="B39" s="41"/>
      <c r="C39" s="41" t="s">
        <v>180</v>
      </c>
      <c r="D39" s="42" t="s">
        <v>181</v>
      </c>
      <c r="E39" s="43">
        <f>Source!AQ29</f>
        <v>28.8</v>
      </c>
      <c r="F39" s="44"/>
      <c r="G39" s="45" t="str">
        <f>Source!DI29</f>
        <v/>
      </c>
      <c r="H39" s="43">
        <f>Source!AV29</f>
        <v>1.0469999999999999</v>
      </c>
      <c r="I39" s="44">
        <f>Source!U29</f>
        <v>60.307199999999995</v>
      </c>
      <c r="J39" s="43"/>
      <c r="K39" s="44"/>
      <c r="AB39" s="46">
        <f>I39</f>
        <v>60.307199999999995</v>
      </c>
    </row>
    <row r="40" spans="1:28" ht="14.4">
      <c r="C40" s="25" t="s">
        <v>182</v>
      </c>
      <c r="H40" s="47">
        <f>I32+I33+I35+I36+I37+I38+0-0-0</f>
        <v>4560.1500000000005</v>
      </c>
      <c r="I40" s="47"/>
      <c r="J40" s="47">
        <f>K32+K33+K35+K36+K37+K38+0-0-0</f>
        <v>148541.57</v>
      </c>
      <c r="K40" s="47"/>
    </row>
    <row r="41" spans="1:28" ht="14.4">
      <c r="C41" s="25" t="s">
        <v>183</v>
      </c>
      <c r="H41" s="48">
        <f>0+0</f>
        <v>0</v>
      </c>
      <c r="I41" s="48"/>
      <c r="J41" s="48">
        <f>0+0</f>
        <v>0</v>
      </c>
      <c r="K41" s="48"/>
    </row>
    <row r="42" spans="1:28" ht="14.4">
      <c r="H42" s="48"/>
      <c r="I42" s="48"/>
      <c r="J42" s="48"/>
      <c r="K42" s="48"/>
      <c r="O42" s="46">
        <f>I32+I33+I35+I36+I37+I38+0</f>
        <v>4560.1500000000005</v>
      </c>
      <c r="P42" s="46">
        <f>K32+K33+K35+K36+K37+K38+0</f>
        <v>148541.57</v>
      </c>
      <c r="X42" s="13">
        <f>IF(Source!BI29&lt;=1,I32+I33+I35+I36+I37+I38-0, 0)</f>
        <v>0</v>
      </c>
      <c r="Y42" s="13">
        <f>IF(Source!BI29=2,I32+I33+I35+I36+I37+I38-0, 0)</f>
        <v>4560.1500000000005</v>
      </c>
      <c r="Z42" s="13">
        <f>IF(Source!BI29=3,I32+I33+I35+I36+I37+I38-0, 0)</f>
        <v>0</v>
      </c>
      <c r="AA42" s="13">
        <f>IF(Source!BI29=4,I32+I33+I35+I36+I37+I38,0)</f>
        <v>0</v>
      </c>
    </row>
    <row r="45" spans="1:28" ht="14.4">
      <c r="A45" s="49" t="str">
        <f>CONCATENATE("Итого по разделу: ",IF(Source!G31&lt;&gt;"Новый раздел", Source!G31, ""))</f>
        <v>Итого по разделу: Монтажные работы</v>
      </c>
      <c r="B45" s="49"/>
      <c r="C45" s="49"/>
      <c r="D45" s="49"/>
      <c r="E45" s="49"/>
      <c r="F45" s="49"/>
      <c r="G45" s="49"/>
      <c r="H45" s="48">
        <f>SUM(O30:O44)</f>
        <v>4560.1500000000005</v>
      </c>
      <c r="I45" s="50"/>
      <c r="J45" s="48">
        <f>SUM(P30:P44)</f>
        <v>148541.57</v>
      </c>
      <c r="K45" s="50"/>
    </row>
    <row r="46" spans="1:28" hidden="1">
      <c r="A46" s="13" t="s">
        <v>184</v>
      </c>
      <c r="H46" s="13">
        <f>SUM(AC30:AC45)</f>
        <v>0</v>
      </c>
      <c r="J46" s="13">
        <f>SUM(AD30:AD45)</f>
        <v>0</v>
      </c>
    </row>
    <row r="47" spans="1:28" hidden="1">
      <c r="A47" s="13" t="s">
        <v>185</v>
      </c>
      <c r="H47" s="13">
        <f>SUM(AE30:AE46)</f>
        <v>0</v>
      </c>
      <c r="J47" s="13">
        <f>SUM(AF30:AF46)</f>
        <v>0</v>
      </c>
    </row>
    <row r="49" spans="1:35" ht="16.7">
      <c r="A49" s="34" t="str">
        <f>CONCATENATE("Раздел: ",IF(Source!G61&lt;&gt;"Новый раздел", Source!G61, ""))</f>
        <v>Раздел: Оборудование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</row>
    <row r="50" spans="1:35" ht="39.75">
      <c r="A50" s="41">
        <v>2</v>
      </c>
      <c r="B50" s="41" t="str">
        <f>Source!F66</f>
        <v>Цена поставщика</v>
      </c>
      <c r="C50" s="41" t="s">
        <v>189</v>
      </c>
      <c r="D50" s="42" t="str">
        <f>Source!H66</f>
        <v>шт.</v>
      </c>
      <c r="E50" s="43">
        <f>Source!I66</f>
        <v>2</v>
      </c>
      <c r="F50" s="44">
        <f>Source!AL66</f>
        <v>552011.05999999994</v>
      </c>
      <c r="G50" s="45" t="str">
        <f>Source!DD66</f>
        <v/>
      </c>
      <c r="H50" s="43">
        <f>Source!AW66</f>
        <v>1</v>
      </c>
      <c r="I50" s="44">
        <f>ROUND((ROUND((Source!AC66*Source!AW66*Source!I66),2)),2)</f>
        <v>1104022.1200000001</v>
      </c>
      <c r="J50" s="43">
        <f>IF(Source!BC66&lt;&gt; 0, Source!BC66, 1)</f>
        <v>7.27</v>
      </c>
      <c r="K50" s="44">
        <f>Source!P66</f>
        <v>8026240.8099999996</v>
      </c>
      <c r="Q50" s="13">
        <f>ROUND((Source!DN66/100)*ROUND((ROUND((Source!AF66*Source!AV66*Source!I66),2)),2), 2)</f>
        <v>0</v>
      </c>
      <c r="R50" s="13">
        <f>Source!X66</f>
        <v>0</v>
      </c>
      <c r="S50" s="13">
        <f>ROUND((Source!DO66/100)*ROUND((ROUND((Source!AF66*Source!AV66*Source!I66),2)),2), 2)</f>
        <v>0</v>
      </c>
      <c r="T50" s="13">
        <f>Source!Y66</f>
        <v>0</v>
      </c>
      <c r="U50" s="13">
        <f>ROUND((175/100)*ROUND((ROUND((Source!AE66*Source!AV66*Source!I66),2)),2), 2)</f>
        <v>0</v>
      </c>
      <c r="V50" s="13">
        <f>ROUND((160/100)*ROUND(ROUND((ROUND((Source!AE66*Source!AV66*Source!I66),2)*Source!BS66),2), 2), 2)</f>
        <v>0</v>
      </c>
      <c r="AI50" s="13">
        <v>5</v>
      </c>
    </row>
    <row r="51" spans="1:35" ht="14.4">
      <c r="C51" s="25" t="s">
        <v>186</v>
      </c>
      <c r="H51" s="47">
        <f>I50+0</f>
        <v>1104022.1200000001</v>
      </c>
      <c r="I51" s="47"/>
      <c r="J51" s="47">
        <f>K50+0</f>
        <v>8026240.8099999996</v>
      </c>
      <c r="K51" s="47"/>
      <c r="O51" s="46">
        <f>I50+0</f>
        <v>1104022.1200000001</v>
      </c>
      <c r="P51" s="46">
        <f>K50+0</f>
        <v>8026240.8099999996</v>
      </c>
      <c r="X51" s="13">
        <f>IF(Source!BI66&lt;=1,I50-0, 0)</f>
        <v>0</v>
      </c>
      <c r="Y51" s="13">
        <f>IF(Source!BI66=2,I50-0, 0)</f>
        <v>0</v>
      </c>
      <c r="Z51" s="13">
        <f>IF(Source!BI66=3,I50-0, 0)</f>
        <v>1104022.1200000001</v>
      </c>
      <c r="AA51" s="13">
        <f>IF(Source!BI66=4,I50,0)</f>
        <v>0</v>
      </c>
    </row>
    <row r="54" spans="1:35" ht="14.4">
      <c r="A54" s="49" t="str">
        <f>CONCATENATE("Итого по разделу: ",IF(Source!G68&lt;&gt;"Новый раздел", Source!G68, ""))</f>
        <v>Итого по разделу: Оборудование</v>
      </c>
      <c r="B54" s="49"/>
      <c r="C54" s="49"/>
      <c r="D54" s="49"/>
      <c r="E54" s="49"/>
      <c r="F54" s="49"/>
      <c r="G54" s="49"/>
      <c r="H54" s="48">
        <f>SUM(O49:O53)</f>
        <v>1104022.1200000001</v>
      </c>
      <c r="I54" s="50"/>
      <c r="J54" s="48">
        <f>SUM(P49:P53)</f>
        <v>8026240.8099999996</v>
      </c>
      <c r="K54" s="50"/>
    </row>
    <row r="55" spans="1:35" hidden="1">
      <c r="A55" s="13" t="s">
        <v>184</v>
      </c>
      <c r="H55" s="13">
        <f>SUM(AC49:AC54)</f>
        <v>0</v>
      </c>
      <c r="J55" s="13">
        <f>SUM(AD49:AD54)</f>
        <v>0</v>
      </c>
    </row>
    <row r="56" spans="1:35" hidden="1">
      <c r="A56" s="13" t="s">
        <v>185</v>
      </c>
      <c r="H56" s="13">
        <f>SUM(AE49:AE55)</f>
        <v>0</v>
      </c>
      <c r="J56" s="13">
        <f>SUM(AF49:AF55)</f>
        <v>0</v>
      </c>
    </row>
    <row r="58" spans="1:35" ht="14.4">
      <c r="A58" s="49" t="str">
        <f>CONCATENATE("Итого по локальной смете: ",IF(Source!G98&lt;&gt;"Новая локальная смета", Source!G98, ""))</f>
        <v>Итого по локальной смете: Реконструкция ТП 27616</v>
      </c>
      <c r="B58" s="49"/>
      <c r="C58" s="49"/>
      <c r="D58" s="49"/>
      <c r="E58" s="49"/>
      <c r="F58" s="49"/>
      <c r="G58" s="49"/>
      <c r="H58" s="48">
        <f>SUM(O28:O57)</f>
        <v>1108582.27</v>
      </c>
      <c r="I58" s="50"/>
      <c r="J58" s="48">
        <f>SUM(P28:P57)</f>
        <v>8174782.3799999999</v>
      </c>
      <c r="K58" s="50"/>
    </row>
    <row r="59" spans="1:35" hidden="1">
      <c r="A59" s="13" t="s">
        <v>184</v>
      </c>
      <c r="H59" s="13">
        <f>SUM(AC28:AC58)</f>
        <v>0</v>
      </c>
      <c r="J59" s="13">
        <f>SUM(AD28:AD58)</f>
        <v>0</v>
      </c>
    </row>
    <row r="60" spans="1:35" hidden="1">
      <c r="A60" s="13" t="s">
        <v>185</v>
      </c>
      <c r="H60" s="13">
        <f>SUM(AE28:AE59)</f>
        <v>0</v>
      </c>
      <c r="J60" s="13">
        <f>SUM(AF28:AF59)</f>
        <v>0</v>
      </c>
    </row>
  </sheetData>
  <mergeCells count="37">
    <mergeCell ref="J54:K54"/>
    <mergeCell ref="H54:I54"/>
    <mergeCell ref="A54:G54"/>
    <mergeCell ref="J58:K58"/>
    <mergeCell ref="H58:I58"/>
    <mergeCell ref="A58:G58"/>
    <mergeCell ref="J45:K45"/>
    <mergeCell ref="H45:I45"/>
    <mergeCell ref="A45:G45"/>
    <mergeCell ref="A49:K49"/>
    <mergeCell ref="H51:I51"/>
    <mergeCell ref="J51:K51"/>
    <mergeCell ref="A30:K30"/>
    <mergeCell ref="H40:I40"/>
    <mergeCell ref="J40:K40"/>
    <mergeCell ref="H41:I41"/>
    <mergeCell ref="J41:K41"/>
    <mergeCell ref="J42:K42"/>
    <mergeCell ref="H42:I42"/>
    <mergeCell ref="E19:H19"/>
    <mergeCell ref="E20:H20"/>
    <mergeCell ref="E21:H21"/>
    <mergeCell ref="A24:K24"/>
    <mergeCell ref="J1:K1"/>
    <mergeCell ref="A28:K28"/>
    <mergeCell ref="E13:H13"/>
    <mergeCell ref="E14:H14"/>
    <mergeCell ref="E15:H15"/>
    <mergeCell ref="E16:H16"/>
    <mergeCell ref="E17:H17"/>
    <mergeCell ref="E18:H18"/>
    <mergeCell ref="A2:K2"/>
    <mergeCell ref="A3:K3"/>
    <mergeCell ref="A5:K5"/>
    <mergeCell ref="A7:K7"/>
    <mergeCell ref="A8:K8"/>
    <mergeCell ref="A10:K10"/>
  </mergeCells>
  <pageMargins left="0.4" right="0.2" top="0.4" bottom="0.4" header="0.2" footer="0.2"/>
  <pageSetup paperSize="9" scale="67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174"/>
  <sheetViews>
    <sheetView workbookViewId="0">
      <selection activeCell="J1" sqref="J1"/>
    </sheetView>
  </sheetViews>
  <sheetFormatPr defaultColWidth="9.109375" defaultRowHeight="12.7"/>
  <cols>
    <col min="1" max="256" width="9.10937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167</v>
      </c>
      <c r="C12" s="1">
        <v>0</v>
      </c>
      <c r="D12" s="1">
        <f>ROW(A128)</f>
        <v>128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B128</f>
        <v>167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02-01-04  Реконструкция ТП 27616 _24.04.25._</v>
      </c>
      <c r="H18" s="3"/>
      <c r="I18" s="3"/>
      <c r="J18" s="3"/>
      <c r="K18" s="3"/>
      <c r="L18" s="3"/>
      <c r="M18" s="3"/>
      <c r="N18" s="3"/>
      <c r="O18" s="3">
        <f t="shared" ref="O18:AT18" si="1">O128</f>
        <v>1106481.08</v>
      </c>
      <c r="P18" s="3">
        <f t="shared" si="1"/>
        <v>1104196.56</v>
      </c>
      <c r="Q18" s="3">
        <f t="shared" si="1"/>
        <v>1523.43</v>
      </c>
      <c r="R18" s="3">
        <f t="shared" si="1"/>
        <v>409.15</v>
      </c>
      <c r="S18" s="3">
        <f t="shared" si="1"/>
        <v>761.09</v>
      </c>
      <c r="T18" s="3">
        <f t="shared" si="1"/>
        <v>0</v>
      </c>
      <c r="U18" s="3">
        <f t="shared" si="1"/>
        <v>60.307199999999995</v>
      </c>
      <c r="V18" s="3">
        <f t="shared" si="1"/>
        <v>0</v>
      </c>
      <c r="W18" s="3">
        <f t="shared" si="1"/>
        <v>0</v>
      </c>
      <c r="X18" s="3">
        <f t="shared" si="1"/>
        <v>852.42</v>
      </c>
      <c r="Y18" s="3">
        <f t="shared" si="1"/>
        <v>532.76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1104022.1200000001</v>
      </c>
      <c r="AQ18" s="3">
        <f t="shared" si="1"/>
        <v>0</v>
      </c>
      <c r="AR18" s="3">
        <f t="shared" si="1"/>
        <v>1108582.27</v>
      </c>
      <c r="AS18" s="3">
        <f t="shared" si="1"/>
        <v>0</v>
      </c>
      <c r="AT18" s="3">
        <f t="shared" si="1"/>
        <v>4560.1499999999996</v>
      </c>
      <c r="AU18" s="3">
        <f t="shared" ref="AU18:BZ18" si="2">AU128</f>
        <v>0</v>
      </c>
      <c r="AV18" s="3">
        <f t="shared" si="2"/>
        <v>1104196.56</v>
      </c>
      <c r="AW18" s="3">
        <f t="shared" si="2"/>
        <v>174.44</v>
      </c>
      <c r="AX18" s="3">
        <f t="shared" si="2"/>
        <v>0</v>
      </c>
      <c r="AY18" s="3">
        <f t="shared" si="2"/>
        <v>174.44</v>
      </c>
      <c r="AZ18" s="3">
        <f t="shared" si="2"/>
        <v>1104022.1200000001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CA128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DG128</f>
        <v>8096278.2400000002</v>
      </c>
      <c r="DH18" s="4">
        <f t="shared" si="4"/>
        <v>8030975.1100000003</v>
      </c>
      <c r="DI18" s="4">
        <f t="shared" si="4"/>
        <v>29783.06</v>
      </c>
      <c r="DJ18" s="4">
        <f t="shared" si="4"/>
        <v>19095.03</v>
      </c>
      <c r="DK18" s="4">
        <f t="shared" si="4"/>
        <v>35520.07</v>
      </c>
      <c r="DL18" s="4">
        <f t="shared" si="4"/>
        <v>0</v>
      </c>
      <c r="DM18" s="4">
        <f t="shared" si="4"/>
        <v>60.307199999999995</v>
      </c>
      <c r="DN18" s="4">
        <f t="shared" si="4"/>
        <v>0</v>
      </c>
      <c r="DO18" s="4">
        <f t="shared" si="4"/>
        <v>0</v>
      </c>
      <c r="DP18" s="4">
        <f t="shared" si="4"/>
        <v>32678.46</v>
      </c>
      <c r="DQ18" s="4">
        <f t="shared" si="4"/>
        <v>15273.63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8026240.8099999996</v>
      </c>
      <c r="EI18" s="4">
        <f t="shared" si="4"/>
        <v>0</v>
      </c>
      <c r="EJ18" s="4">
        <f t="shared" si="4"/>
        <v>8174782.3799999999</v>
      </c>
      <c r="EK18" s="4">
        <f t="shared" si="4"/>
        <v>0</v>
      </c>
      <c r="EL18" s="4">
        <f t="shared" si="4"/>
        <v>148541.57</v>
      </c>
      <c r="EM18" s="4">
        <f t="shared" ref="EM18:FR18" si="5">EM128</f>
        <v>0</v>
      </c>
      <c r="EN18" s="4">
        <f t="shared" si="5"/>
        <v>8030975.1100000003</v>
      </c>
      <c r="EO18" s="4">
        <f t="shared" si="5"/>
        <v>4734.3</v>
      </c>
      <c r="EP18" s="4">
        <f t="shared" si="5"/>
        <v>0</v>
      </c>
      <c r="EQ18" s="4">
        <f t="shared" si="5"/>
        <v>4734.3</v>
      </c>
      <c r="ER18" s="4">
        <f t="shared" si="5"/>
        <v>8026240.8099999996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FS128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>
      <c r="A20" s="1">
        <v>3</v>
      </c>
      <c r="B20" s="1">
        <v>1</v>
      </c>
      <c r="C20" s="1"/>
      <c r="D20" s="1">
        <f>ROW(A98)</f>
        <v>98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16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1" t="s">
        <v>147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B98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02-01-04</v>
      </c>
      <c r="G22" s="3" t="str">
        <f t="shared" si="7"/>
        <v>Реконструкция ТП 27616</v>
      </c>
      <c r="H22" s="3"/>
      <c r="I22" s="3"/>
      <c r="J22" s="3"/>
      <c r="K22" s="3"/>
      <c r="L22" s="3"/>
      <c r="M22" s="3"/>
      <c r="N22" s="3"/>
      <c r="O22" s="3">
        <f t="shared" ref="O22:AT22" si="8">O98</f>
        <v>1106481.08</v>
      </c>
      <c r="P22" s="3">
        <f t="shared" si="8"/>
        <v>1104196.56</v>
      </c>
      <c r="Q22" s="3">
        <f t="shared" si="8"/>
        <v>1523.43</v>
      </c>
      <c r="R22" s="3">
        <f t="shared" si="8"/>
        <v>409.15</v>
      </c>
      <c r="S22" s="3">
        <f t="shared" si="8"/>
        <v>761.09</v>
      </c>
      <c r="T22" s="3">
        <f t="shared" si="8"/>
        <v>0</v>
      </c>
      <c r="U22" s="3">
        <f t="shared" si="8"/>
        <v>60.307199999999995</v>
      </c>
      <c r="V22" s="3">
        <f t="shared" si="8"/>
        <v>0</v>
      </c>
      <c r="W22" s="3">
        <f t="shared" si="8"/>
        <v>0</v>
      </c>
      <c r="X22" s="3">
        <f t="shared" si="8"/>
        <v>852.42</v>
      </c>
      <c r="Y22" s="3">
        <f t="shared" si="8"/>
        <v>532.76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1104022.1200000001</v>
      </c>
      <c r="AQ22" s="3">
        <f t="shared" si="8"/>
        <v>0</v>
      </c>
      <c r="AR22" s="3">
        <f t="shared" si="8"/>
        <v>1108582.27</v>
      </c>
      <c r="AS22" s="3">
        <f t="shared" si="8"/>
        <v>0</v>
      </c>
      <c r="AT22" s="3">
        <f t="shared" si="8"/>
        <v>4560.1499999999996</v>
      </c>
      <c r="AU22" s="3">
        <f t="shared" ref="AU22:BZ22" si="9">AU98</f>
        <v>0</v>
      </c>
      <c r="AV22" s="3">
        <f t="shared" si="9"/>
        <v>1104196.56</v>
      </c>
      <c r="AW22" s="3">
        <f t="shared" si="9"/>
        <v>174.44</v>
      </c>
      <c r="AX22" s="3">
        <f t="shared" si="9"/>
        <v>0</v>
      </c>
      <c r="AY22" s="3">
        <f t="shared" si="9"/>
        <v>174.44</v>
      </c>
      <c r="AZ22" s="3">
        <f t="shared" si="9"/>
        <v>1104022.1200000001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CA98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DG98</f>
        <v>8096278.2400000002</v>
      </c>
      <c r="DH22" s="4">
        <f t="shared" si="11"/>
        <v>8030975.1100000003</v>
      </c>
      <c r="DI22" s="4">
        <f t="shared" si="11"/>
        <v>29783.06</v>
      </c>
      <c r="DJ22" s="4">
        <f t="shared" si="11"/>
        <v>19095.03</v>
      </c>
      <c r="DK22" s="4">
        <f t="shared" si="11"/>
        <v>35520.07</v>
      </c>
      <c r="DL22" s="4">
        <f t="shared" si="11"/>
        <v>0</v>
      </c>
      <c r="DM22" s="4">
        <f t="shared" si="11"/>
        <v>60.307199999999995</v>
      </c>
      <c r="DN22" s="4">
        <f t="shared" si="11"/>
        <v>0</v>
      </c>
      <c r="DO22" s="4">
        <f t="shared" si="11"/>
        <v>0</v>
      </c>
      <c r="DP22" s="4">
        <f t="shared" si="11"/>
        <v>32678.46</v>
      </c>
      <c r="DQ22" s="4">
        <f t="shared" si="11"/>
        <v>15273.63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8026240.8099999996</v>
      </c>
      <c r="EI22" s="4">
        <f t="shared" si="11"/>
        <v>0</v>
      </c>
      <c r="EJ22" s="4">
        <f t="shared" si="11"/>
        <v>8174782.3799999999</v>
      </c>
      <c r="EK22" s="4">
        <f t="shared" si="11"/>
        <v>0</v>
      </c>
      <c r="EL22" s="4">
        <f t="shared" si="11"/>
        <v>148541.57</v>
      </c>
      <c r="EM22" s="4">
        <f t="shared" ref="EM22:FR22" si="12">EM98</f>
        <v>0</v>
      </c>
      <c r="EN22" s="4">
        <f t="shared" si="12"/>
        <v>8030975.1100000003</v>
      </c>
      <c r="EO22" s="4">
        <f t="shared" si="12"/>
        <v>4734.3</v>
      </c>
      <c r="EP22" s="4">
        <f t="shared" si="12"/>
        <v>0</v>
      </c>
      <c r="EQ22" s="4">
        <f t="shared" si="12"/>
        <v>4734.3</v>
      </c>
      <c r="ER22" s="4">
        <f t="shared" si="12"/>
        <v>8026240.8099999996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FS98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ROW(A31)</f>
        <v>31</v>
      </c>
      <c r="E24" s="1"/>
      <c r="F24" s="1" t="s">
        <v>17</v>
      </c>
      <c r="G24" s="1" t="s">
        <v>18</v>
      </c>
      <c r="H24" s="1" t="s">
        <v>4</v>
      </c>
      <c r="I24" s="1">
        <v>0</v>
      </c>
      <c r="J24" s="1"/>
      <c r="K24" s="1">
        <v>0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B31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Монтажные работы</v>
      </c>
      <c r="H26" s="3"/>
      <c r="I26" s="3"/>
      <c r="J26" s="3"/>
      <c r="K26" s="3"/>
      <c r="L26" s="3"/>
      <c r="M26" s="3"/>
      <c r="N26" s="3"/>
      <c r="O26" s="3">
        <f t="shared" ref="O26:AT26" si="15">O31</f>
        <v>2458.96</v>
      </c>
      <c r="P26" s="3">
        <f t="shared" si="15"/>
        <v>174.44</v>
      </c>
      <c r="Q26" s="3">
        <f t="shared" si="15"/>
        <v>1523.43</v>
      </c>
      <c r="R26" s="3">
        <f t="shared" si="15"/>
        <v>409.15</v>
      </c>
      <c r="S26" s="3">
        <f t="shared" si="15"/>
        <v>761.09</v>
      </c>
      <c r="T26" s="3">
        <f t="shared" si="15"/>
        <v>0</v>
      </c>
      <c r="U26" s="3">
        <f t="shared" si="15"/>
        <v>60.307199999999995</v>
      </c>
      <c r="V26" s="3">
        <f t="shared" si="15"/>
        <v>0</v>
      </c>
      <c r="W26" s="3">
        <f t="shared" si="15"/>
        <v>0</v>
      </c>
      <c r="X26" s="3">
        <f t="shared" si="15"/>
        <v>852.42</v>
      </c>
      <c r="Y26" s="3">
        <f t="shared" si="15"/>
        <v>532.76</v>
      </c>
      <c r="Z26" s="3">
        <f t="shared" si="15"/>
        <v>0</v>
      </c>
      <c r="AA26" s="3">
        <f t="shared" si="15"/>
        <v>0</v>
      </c>
      <c r="AB26" s="3">
        <f t="shared" si="15"/>
        <v>2458.96</v>
      </c>
      <c r="AC26" s="3">
        <f t="shared" si="15"/>
        <v>174.44</v>
      </c>
      <c r="AD26" s="3">
        <f t="shared" si="15"/>
        <v>1523.43</v>
      </c>
      <c r="AE26" s="3">
        <f t="shared" si="15"/>
        <v>409.15</v>
      </c>
      <c r="AF26" s="3">
        <f t="shared" si="15"/>
        <v>761.09</v>
      </c>
      <c r="AG26" s="3">
        <f t="shared" si="15"/>
        <v>0</v>
      </c>
      <c r="AH26" s="3">
        <f t="shared" si="15"/>
        <v>60.307199999999995</v>
      </c>
      <c r="AI26" s="3">
        <f t="shared" si="15"/>
        <v>0</v>
      </c>
      <c r="AJ26" s="3">
        <f t="shared" si="15"/>
        <v>0</v>
      </c>
      <c r="AK26" s="3">
        <f t="shared" si="15"/>
        <v>852.42</v>
      </c>
      <c r="AL26" s="3">
        <f t="shared" si="15"/>
        <v>532.76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4560.1499999999996</v>
      </c>
      <c r="AS26" s="3">
        <f t="shared" si="15"/>
        <v>0</v>
      </c>
      <c r="AT26" s="3">
        <f t="shared" si="15"/>
        <v>4560.1499999999996</v>
      </c>
      <c r="AU26" s="3">
        <f t="shared" ref="AU26:BZ26" si="16">AU31</f>
        <v>0</v>
      </c>
      <c r="AV26" s="3">
        <f t="shared" si="16"/>
        <v>174.44</v>
      </c>
      <c r="AW26" s="3">
        <f t="shared" si="16"/>
        <v>174.44</v>
      </c>
      <c r="AX26" s="3">
        <f t="shared" si="16"/>
        <v>0</v>
      </c>
      <c r="AY26" s="3">
        <f t="shared" si="16"/>
        <v>174.44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CA31</f>
        <v>4560.1499999999996</v>
      </c>
      <c r="CB26" s="3">
        <f t="shared" si="17"/>
        <v>0</v>
      </c>
      <c r="CC26" s="3">
        <f t="shared" si="17"/>
        <v>4560.1499999999996</v>
      </c>
      <c r="CD26" s="3">
        <f t="shared" si="17"/>
        <v>0</v>
      </c>
      <c r="CE26" s="3">
        <f t="shared" si="17"/>
        <v>174.44</v>
      </c>
      <c r="CF26" s="3">
        <f t="shared" si="17"/>
        <v>174.44</v>
      </c>
      <c r="CG26" s="3">
        <f t="shared" si="17"/>
        <v>0</v>
      </c>
      <c r="CH26" s="3">
        <f t="shared" si="17"/>
        <v>174.44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DG31</f>
        <v>70037.429999999993</v>
      </c>
      <c r="DH26" s="4">
        <f t="shared" si="18"/>
        <v>4734.3</v>
      </c>
      <c r="DI26" s="4">
        <f t="shared" si="18"/>
        <v>29783.06</v>
      </c>
      <c r="DJ26" s="4">
        <f t="shared" si="18"/>
        <v>19095.03</v>
      </c>
      <c r="DK26" s="4">
        <f t="shared" si="18"/>
        <v>35520.07</v>
      </c>
      <c r="DL26" s="4">
        <f t="shared" si="18"/>
        <v>0</v>
      </c>
      <c r="DM26" s="4">
        <f t="shared" si="18"/>
        <v>60.307199999999995</v>
      </c>
      <c r="DN26" s="4">
        <f t="shared" si="18"/>
        <v>0</v>
      </c>
      <c r="DO26" s="4">
        <f t="shared" si="18"/>
        <v>0</v>
      </c>
      <c r="DP26" s="4">
        <f t="shared" si="18"/>
        <v>32678.46</v>
      </c>
      <c r="DQ26" s="4">
        <f t="shared" si="18"/>
        <v>15273.63</v>
      </c>
      <c r="DR26" s="4">
        <f t="shared" si="18"/>
        <v>0</v>
      </c>
      <c r="DS26" s="4">
        <f t="shared" si="18"/>
        <v>0</v>
      </c>
      <c r="DT26" s="4">
        <f t="shared" si="18"/>
        <v>70037.429999999993</v>
      </c>
      <c r="DU26" s="4">
        <f t="shared" si="18"/>
        <v>4734.3</v>
      </c>
      <c r="DV26" s="4">
        <f t="shared" si="18"/>
        <v>29783.06</v>
      </c>
      <c r="DW26" s="4">
        <f t="shared" si="18"/>
        <v>19095.03</v>
      </c>
      <c r="DX26" s="4">
        <f t="shared" si="18"/>
        <v>35520.07</v>
      </c>
      <c r="DY26" s="4">
        <f t="shared" si="18"/>
        <v>0</v>
      </c>
      <c r="DZ26" s="4">
        <f t="shared" si="18"/>
        <v>60.307199999999995</v>
      </c>
      <c r="EA26" s="4">
        <f t="shared" si="18"/>
        <v>0</v>
      </c>
      <c r="EB26" s="4">
        <f t="shared" si="18"/>
        <v>0</v>
      </c>
      <c r="EC26" s="4">
        <f t="shared" si="18"/>
        <v>32678.46</v>
      </c>
      <c r="ED26" s="4">
        <f t="shared" si="18"/>
        <v>15273.63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148541.57</v>
      </c>
      <c r="EK26" s="4">
        <f t="shared" si="18"/>
        <v>0</v>
      </c>
      <c r="EL26" s="4">
        <f t="shared" si="18"/>
        <v>148541.57</v>
      </c>
      <c r="EM26" s="4">
        <f t="shared" ref="EM26:FR26" si="19">EM31</f>
        <v>0</v>
      </c>
      <c r="EN26" s="4">
        <f t="shared" si="19"/>
        <v>4734.3</v>
      </c>
      <c r="EO26" s="4">
        <f t="shared" si="19"/>
        <v>4734.3</v>
      </c>
      <c r="EP26" s="4">
        <f t="shared" si="19"/>
        <v>0</v>
      </c>
      <c r="EQ26" s="4">
        <f t="shared" si="19"/>
        <v>4734.3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FS31</f>
        <v>148541.57</v>
      </c>
      <c r="FT26" s="4">
        <f t="shared" si="20"/>
        <v>0</v>
      </c>
      <c r="FU26" s="4">
        <f t="shared" si="20"/>
        <v>148541.57</v>
      </c>
      <c r="FV26" s="4">
        <f t="shared" si="20"/>
        <v>0</v>
      </c>
      <c r="FW26" s="4">
        <f t="shared" si="20"/>
        <v>4734.3</v>
      </c>
      <c r="FX26" s="4">
        <f t="shared" si="20"/>
        <v>4734.3</v>
      </c>
      <c r="FY26" s="4">
        <f t="shared" si="20"/>
        <v>0</v>
      </c>
      <c r="FZ26" s="4">
        <f t="shared" si="20"/>
        <v>4734.3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17</v>
      </c>
      <c r="B28" s="2">
        <v>1</v>
      </c>
      <c r="C28" s="2">
        <f>ROW(SmtRes!A10)</f>
        <v>10</v>
      </c>
      <c r="D28" s="2">
        <f>ROW(EtalonRes!A12)</f>
        <v>12</v>
      </c>
      <c r="E28" s="2" t="s">
        <v>19</v>
      </c>
      <c r="F28" s="2" t="s">
        <v>20</v>
      </c>
      <c r="G28" s="2" t="s">
        <v>21</v>
      </c>
      <c r="H28" s="2" t="s">
        <v>22</v>
      </c>
      <c r="I28" s="2">
        <v>2</v>
      </c>
      <c r="J28" s="2">
        <v>0</v>
      </c>
      <c r="K28" s="2">
        <v>2</v>
      </c>
      <c r="L28" s="2"/>
      <c r="M28" s="2"/>
      <c r="N28" s="2"/>
      <c r="O28" s="2">
        <f>ROUND(CP28,2)</f>
        <v>2458.96</v>
      </c>
      <c r="P28" s="2">
        <f>ROUND((ROUND((AC28*AW28*I28),2)*BC28),2)</f>
        <v>174.44</v>
      </c>
      <c r="Q28" s="2">
        <f>(ROUND((ROUND(((ET28)*AV28*I28),2)*BB28),2)+ROUND((ROUND(((AE28-(EU28))*AV28*I28),2)*BS28),2))</f>
        <v>1523.43</v>
      </c>
      <c r="R28" s="2">
        <f>ROUND((ROUND((AE28*AV28*I28),2)*BS28),2)</f>
        <v>409.15</v>
      </c>
      <c r="S28" s="2">
        <f>ROUND((ROUND((AF28*AV28*I28),2)*BA28),2)</f>
        <v>761.09</v>
      </c>
      <c r="T28" s="2">
        <f>ROUND(CU28*I28,2)</f>
        <v>0</v>
      </c>
      <c r="U28" s="2">
        <f>CV28*I28</f>
        <v>60.307199999999995</v>
      </c>
      <c r="V28" s="2">
        <f>CW28*I28</f>
        <v>0</v>
      </c>
      <c r="W28" s="2">
        <f>ROUND(CX28*I28,2)</f>
        <v>0</v>
      </c>
      <c r="X28" s="2">
        <f>ROUND(CY28,2)</f>
        <v>852.42</v>
      </c>
      <c r="Y28" s="2">
        <f>ROUND(CZ28,2)</f>
        <v>532.76</v>
      </c>
      <c r="Z28" s="2"/>
      <c r="AA28" s="2">
        <v>70314467</v>
      </c>
      <c r="AB28" s="2">
        <f>ROUND((AC28+AD28+AF28),6)</f>
        <v>1178.2</v>
      </c>
      <c r="AC28" s="2">
        <f>ROUND((ES28),6)</f>
        <v>87.22</v>
      </c>
      <c r="AD28" s="2">
        <f>ROUND((((ET28)-(EU28))+AE28),6)</f>
        <v>727.52</v>
      </c>
      <c r="AE28" s="2">
        <f>ROUND((EU28),6)</f>
        <v>195.39</v>
      </c>
      <c r="AF28" s="2">
        <f>ROUND((EV28),6)</f>
        <v>363.46</v>
      </c>
      <c r="AG28" s="2">
        <f>ROUND((AP28),6)</f>
        <v>0</v>
      </c>
      <c r="AH28" s="2">
        <f>(EW28)</f>
        <v>28.8</v>
      </c>
      <c r="AI28" s="2">
        <f>(EX28)</f>
        <v>0</v>
      </c>
      <c r="AJ28" s="2">
        <f>(AS28)</f>
        <v>0</v>
      </c>
      <c r="AK28" s="2">
        <v>1178.2</v>
      </c>
      <c r="AL28" s="2">
        <v>87.22</v>
      </c>
      <c r="AM28" s="2">
        <v>727.52</v>
      </c>
      <c r="AN28" s="2">
        <v>195.39</v>
      </c>
      <c r="AO28" s="2">
        <v>363.46</v>
      </c>
      <c r="AP28" s="2">
        <v>0</v>
      </c>
      <c r="AQ28" s="2">
        <v>28.8</v>
      </c>
      <c r="AR28" s="2">
        <v>0</v>
      </c>
      <c r="AS28" s="2">
        <v>0</v>
      </c>
      <c r="AT28" s="2">
        <v>112</v>
      </c>
      <c r="AU28" s="2">
        <v>70</v>
      </c>
      <c r="AV28" s="2">
        <v>1.0469999999999999</v>
      </c>
      <c r="AW28" s="2">
        <v>1</v>
      </c>
      <c r="AX28" s="2"/>
      <c r="AY28" s="2"/>
      <c r="AZ28" s="2">
        <v>1</v>
      </c>
      <c r="BA28" s="2">
        <v>1</v>
      </c>
      <c r="BB28" s="2">
        <v>1</v>
      </c>
      <c r="BC28" s="2">
        <v>1</v>
      </c>
      <c r="BD28" s="2" t="s">
        <v>4</v>
      </c>
      <c r="BE28" s="2" t="s">
        <v>4</v>
      </c>
      <c r="BF28" s="2" t="s">
        <v>4</v>
      </c>
      <c r="BG28" s="2" t="s">
        <v>4</v>
      </c>
      <c r="BH28" s="2">
        <v>0</v>
      </c>
      <c r="BI28" s="2">
        <v>2</v>
      </c>
      <c r="BJ28" s="2" t="s">
        <v>23</v>
      </c>
      <c r="BK28" s="2"/>
      <c r="BL28" s="2"/>
      <c r="BM28" s="2">
        <v>317</v>
      </c>
      <c r="BN28" s="2">
        <v>0</v>
      </c>
      <c r="BO28" s="2" t="s">
        <v>4</v>
      </c>
      <c r="BP28" s="2">
        <v>0</v>
      </c>
      <c r="BQ28" s="2">
        <v>40</v>
      </c>
      <c r="BR28" s="2">
        <v>0</v>
      </c>
      <c r="BS28" s="2">
        <v>1</v>
      </c>
      <c r="BT28" s="2">
        <v>1</v>
      </c>
      <c r="BU28" s="2">
        <v>1</v>
      </c>
      <c r="BV28" s="2">
        <v>1</v>
      </c>
      <c r="BW28" s="2">
        <v>1</v>
      </c>
      <c r="BX28" s="2">
        <v>1</v>
      </c>
      <c r="BY28" s="2" t="s">
        <v>4</v>
      </c>
      <c r="BZ28" s="2">
        <v>112</v>
      </c>
      <c r="CA28" s="2">
        <v>70</v>
      </c>
      <c r="CB28" s="2" t="s">
        <v>4</v>
      </c>
      <c r="CC28" s="2"/>
      <c r="CD28" s="2"/>
      <c r="CE28" s="2">
        <v>30</v>
      </c>
      <c r="CF28" s="2">
        <v>0</v>
      </c>
      <c r="CG28" s="2">
        <v>0</v>
      </c>
      <c r="CH28" s="2"/>
      <c r="CI28" s="2"/>
      <c r="CJ28" s="2"/>
      <c r="CK28" s="2"/>
      <c r="CL28" s="2"/>
      <c r="CM28" s="2">
        <v>0</v>
      </c>
      <c r="CN28" s="2" t="s">
        <v>4</v>
      </c>
      <c r="CO28" s="2">
        <v>0</v>
      </c>
      <c r="CP28" s="2">
        <f>(P28+Q28+S28)</f>
        <v>2458.96</v>
      </c>
      <c r="CQ28" s="2">
        <f>ROUND((ROUND((AC28*AW28*1),2)*BC28),2)</f>
        <v>87.22</v>
      </c>
      <c r="CR28" s="2">
        <f>(ROUND((ROUND(((ET28)*AV28*1),2)*BB28),2)+ROUND((ROUND(((AE28-(EU28))*AV28*1),2)*BS28),2))</f>
        <v>761.71</v>
      </c>
      <c r="CS28" s="2">
        <f>ROUND((ROUND((AE28*AV28*1),2)*BS28),2)</f>
        <v>204.57</v>
      </c>
      <c r="CT28" s="2">
        <f>ROUND((ROUND((AF28*AV28*1),2)*BA28),2)</f>
        <v>380.54</v>
      </c>
      <c r="CU28" s="2">
        <f>AG28</f>
        <v>0</v>
      </c>
      <c r="CV28" s="2">
        <f>(AH28*AV28)</f>
        <v>30.153599999999997</v>
      </c>
      <c r="CW28" s="2">
        <f>AI28</f>
        <v>0</v>
      </c>
      <c r="CX28" s="2">
        <f>AJ28</f>
        <v>0</v>
      </c>
      <c r="CY28" s="2">
        <f>((S28*BZ28)/100)</f>
        <v>852.42079999999999</v>
      </c>
      <c r="CZ28" s="2">
        <f>((S28*CA28)/100)</f>
        <v>532.76300000000003</v>
      </c>
      <c r="DA28" s="2"/>
      <c r="DB28" s="2"/>
      <c r="DC28" s="2" t="s">
        <v>4</v>
      </c>
      <c r="DD28" s="2" t="s">
        <v>4</v>
      </c>
      <c r="DE28" s="2" t="s">
        <v>4</v>
      </c>
      <c r="DF28" s="2" t="s">
        <v>4</v>
      </c>
      <c r="DG28" s="2" t="s">
        <v>4</v>
      </c>
      <c r="DH28" s="2" t="s">
        <v>4</v>
      </c>
      <c r="DI28" s="2" t="s">
        <v>4</v>
      </c>
      <c r="DJ28" s="2" t="s">
        <v>4</v>
      </c>
      <c r="DK28" s="2" t="s">
        <v>4</v>
      </c>
      <c r="DL28" s="2" t="s">
        <v>4</v>
      </c>
      <c r="DM28" s="2" t="s">
        <v>4</v>
      </c>
      <c r="DN28" s="2">
        <v>0</v>
      </c>
      <c r="DO28" s="2">
        <v>0</v>
      </c>
      <c r="DP28" s="2">
        <v>1</v>
      </c>
      <c r="DQ28" s="2">
        <v>1</v>
      </c>
      <c r="DR28" s="2"/>
      <c r="DS28" s="2"/>
      <c r="DT28" s="2"/>
      <c r="DU28" s="2">
        <v>1013</v>
      </c>
      <c r="DV28" s="2" t="s">
        <v>22</v>
      </c>
      <c r="DW28" s="2" t="s">
        <v>22</v>
      </c>
      <c r="DX28" s="2">
        <v>1</v>
      </c>
      <c r="DY28" s="2"/>
      <c r="DZ28" s="2" t="s">
        <v>4</v>
      </c>
      <c r="EA28" s="2" t="s">
        <v>4</v>
      </c>
      <c r="EB28" s="2" t="s">
        <v>4</v>
      </c>
      <c r="EC28" s="2" t="s">
        <v>4</v>
      </c>
      <c r="ED28" s="2"/>
      <c r="EE28" s="2">
        <v>69252942</v>
      </c>
      <c r="EF28" s="2">
        <v>40</v>
      </c>
      <c r="EG28" s="2" t="s">
        <v>24</v>
      </c>
      <c r="EH28" s="2">
        <v>0</v>
      </c>
      <c r="EI28" s="2" t="s">
        <v>4</v>
      </c>
      <c r="EJ28" s="2">
        <v>2</v>
      </c>
      <c r="EK28" s="2">
        <v>317</v>
      </c>
      <c r="EL28" s="2" t="s">
        <v>25</v>
      </c>
      <c r="EM28" s="2" t="s">
        <v>26</v>
      </c>
      <c r="EN28" s="2"/>
      <c r="EO28" s="2" t="s">
        <v>4</v>
      </c>
      <c r="EP28" s="2"/>
      <c r="EQ28" s="2">
        <v>0</v>
      </c>
      <c r="ER28" s="2">
        <v>1178.2</v>
      </c>
      <c r="ES28" s="2">
        <v>87.22</v>
      </c>
      <c r="ET28" s="2">
        <v>727.52</v>
      </c>
      <c r="EU28" s="2">
        <v>195.39</v>
      </c>
      <c r="EV28" s="2">
        <v>363.46</v>
      </c>
      <c r="EW28" s="2">
        <v>28.8</v>
      </c>
      <c r="EX28" s="2">
        <v>0</v>
      </c>
      <c r="EY28" s="2">
        <v>0</v>
      </c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>
        <v>0</v>
      </c>
      <c r="FR28" s="2">
        <f>ROUND(IF(BI28=3,GM28,0),2)</f>
        <v>0</v>
      </c>
      <c r="FS28" s="2">
        <v>0</v>
      </c>
      <c r="FT28" s="2"/>
      <c r="FU28" s="2"/>
      <c r="FV28" s="2"/>
      <c r="FW28" s="2"/>
      <c r="FX28" s="2">
        <v>112</v>
      </c>
      <c r="FY28" s="2">
        <v>70</v>
      </c>
      <c r="FZ28" s="2"/>
      <c r="GA28" s="2" t="s">
        <v>4</v>
      </c>
      <c r="GB28" s="2"/>
      <c r="GC28" s="2"/>
      <c r="GD28" s="2">
        <v>0</v>
      </c>
      <c r="GE28" s="2"/>
      <c r="GF28" s="2">
        <v>1987096366</v>
      </c>
      <c r="GG28" s="2">
        <v>2</v>
      </c>
      <c r="GH28" s="2">
        <v>1</v>
      </c>
      <c r="GI28" s="2">
        <v>-2</v>
      </c>
      <c r="GJ28" s="2">
        <v>0</v>
      </c>
      <c r="GK28" s="2">
        <f>ROUND(R28*(R12)/100,2)</f>
        <v>716.01</v>
      </c>
      <c r="GL28" s="2">
        <f>ROUND(IF(AND(BH28=3,BI28=3,FS28&lt;&gt;0),P28,0),2)</f>
        <v>0</v>
      </c>
      <c r="GM28" s="2">
        <f>ROUND(O28+X28+Y28+GK28,2)+GX28</f>
        <v>4560.1499999999996</v>
      </c>
      <c r="GN28" s="2">
        <f>IF(OR(BI28=0,BI28=1),GM28-GX28,0)</f>
        <v>0</v>
      </c>
      <c r="GO28" s="2">
        <f>IF(BI28=2,GM28-GX28,0)</f>
        <v>4560.1499999999996</v>
      </c>
      <c r="GP28" s="2">
        <f>IF(BI28=4,GM28-GX28,0)</f>
        <v>0</v>
      </c>
      <c r="GQ28" s="2"/>
      <c r="GR28" s="2">
        <v>0</v>
      </c>
      <c r="GS28" s="2">
        <v>3</v>
      </c>
      <c r="GT28" s="2">
        <v>0</v>
      </c>
      <c r="GU28" s="2" t="s">
        <v>4</v>
      </c>
      <c r="GV28" s="2">
        <f>ROUND((GT28),6)</f>
        <v>0</v>
      </c>
      <c r="GW28" s="2">
        <v>1</v>
      </c>
      <c r="GX28" s="2">
        <f>ROUND(HC28*I28,2)</f>
        <v>0</v>
      </c>
      <c r="GY28" s="2"/>
      <c r="GZ28" s="2"/>
      <c r="HA28" s="2">
        <v>0</v>
      </c>
      <c r="HB28" s="2">
        <v>0</v>
      </c>
      <c r="HC28" s="2">
        <f>GV28*GW28</f>
        <v>0</v>
      </c>
      <c r="HD28" s="2"/>
      <c r="HE28" s="2" t="s">
        <v>4</v>
      </c>
      <c r="HF28" s="2" t="s">
        <v>4</v>
      </c>
      <c r="HG28" s="2"/>
      <c r="HH28" s="2"/>
      <c r="HI28" s="2"/>
      <c r="HJ28" s="2"/>
      <c r="HK28" s="2"/>
      <c r="HL28" s="2"/>
      <c r="HM28" s="2" t="s">
        <v>4</v>
      </c>
      <c r="HN28" s="2" t="s">
        <v>4</v>
      </c>
      <c r="HO28" s="2" t="s">
        <v>4</v>
      </c>
      <c r="HP28" s="2" t="s">
        <v>4</v>
      </c>
      <c r="HQ28" s="2" t="s">
        <v>4</v>
      </c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>
        <v>17</v>
      </c>
      <c r="B29">
        <v>1</v>
      </c>
      <c r="C29">
        <f>ROW(SmtRes!A20)</f>
        <v>20</v>
      </c>
      <c r="D29">
        <f>ROW(EtalonRes!A24)</f>
        <v>24</v>
      </c>
      <c r="E29" t="s">
        <v>19</v>
      </c>
      <c r="F29" t="s">
        <v>20</v>
      </c>
      <c r="G29" t="s">
        <v>21</v>
      </c>
      <c r="H29" t="s">
        <v>22</v>
      </c>
      <c r="I29">
        <v>2</v>
      </c>
      <c r="J29">
        <v>0</v>
      </c>
      <c r="K29">
        <v>2</v>
      </c>
      <c r="O29">
        <f>ROUND(CP29,2)</f>
        <v>70037.429999999993</v>
      </c>
      <c r="P29">
        <f>ROUND((ROUND((AC29*AW29*I29),2)*BC29),2)</f>
        <v>4734.3</v>
      </c>
      <c r="Q29">
        <f>(ROUND((ROUND(((ET29)*AV29*I29),2)*BB29),2)+ROUND((ROUND(((AE29-(EU29))*AV29*I29),2)*BS29),2))</f>
        <v>29783.06</v>
      </c>
      <c r="R29">
        <f>ROUND((ROUND((AE29*AV29*I29),2)*BS29),2)</f>
        <v>19095.03</v>
      </c>
      <c r="S29">
        <f>ROUND((ROUND((AF29*AV29*I29),2)*BA29),2)</f>
        <v>35520.07</v>
      </c>
      <c r="T29">
        <f>ROUND(CU29*I29,2)</f>
        <v>0</v>
      </c>
      <c r="U29">
        <f>CV29*I29</f>
        <v>60.307199999999995</v>
      </c>
      <c r="V29">
        <f>CW29*I29</f>
        <v>0</v>
      </c>
      <c r="W29">
        <f>ROUND(CX29*I29,2)</f>
        <v>0</v>
      </c>
      <c r="X29">
        <f>ROUND(CY29,2)</f>
        <v>32678.46</v>
      </c>
      <c r="Y29">
        <f>ROUND(CZ29,2)</f>
        <v>15273.63</v>
      </c>
      <c r="AA29">
        <v>70314464</v>
      </c>
      <c r="AB29">
        <f>ROUND((AC29+AD29+AF29),6)</f>
        <v>1178.2</v>
      </c>
      <c r="AC29">
        <f>ROUND((ES29),6)</f>
        <v>87.22</v>
      </c>
      <c r="AD29">
        <f>ROUND((((ET29)-(EU29))+AE29),6)</f>
        <v>727.52</v>
      </c>
      <c r="AE29">
        <f>ROUND((EU29),6)</f>
        <v>195.39</v>
      </c>
      <c r="AF29">
        <f>ROUND((EV29),6)</f>
        <v>363.46</v>
      </c>
      <c r="AG29">
        <f>ROUND((AP29),6)</f>
        <v>0</v>
      </c>
      <c r="AH29">
        <f>(EW29)</f>
        <v>28.8</v>
      </c>
      <c r="AI29">
        <f>(EX29)</f>
        <v>0</v>
      </c>
      <c r="AJ29">
        <f>(AS29)</f>
        <v>0</v>
      </c>
      <c r="AK29">
        <v>1178.2</v>
      </c>
      <c r="AL29">
        <v>87.22</v>
      </c>
      <c r="AM29">
        <v>727.52</v>
      </c>
      <c r="AN29">
        <v>195.39</v>
      </c>
      <c r="AO29">
        <v>363.46</v>
      </c>
      <c r="AP29">
        <v>0</v>
      </c>
      <c r="AQ29">
        <v>28.8</v>
      </c>
      <c r="AR29">
        <v>0</v>
      </c>
      <c r="AS29">
        <v>0</v>
      </c>
      <c r="AT29">
        <v>92</v>
      </c>
      <c r="AU29">
        <v>43</v>
      </c>
      <c r="AV29">
        <v>1.0469999999999999</v>
      </c>
      <c r="AW29">
        <v>1</v>
      </c>
      <c r="AZ29">
        <v>1</v>
      </c>
      <c r="BA29">
        <v>46.67</v>
      </c>
      <c r="BB29">
        <v>19.55</v>
      </c>
      <c r="BC29">
        <v>27.14</v>
      </c>
      <c r="BD29" t="s">
        <v>4</v>
      </c>
      <c r="BE29" t="s">
        <v>4</v>
      </c>
      <c r="BF29" t="s">
        <v>4</v>
      </c>
      <c r="BG29" t="s">
        <v>4</v>
      </c>
      <c r="BH29">
        <v>0</v>
      </c>
      <c r="BI29">
        <v>2</v>
      </c>
      <c r="BJ29" t="s">
        <v>23</v>
      </c>
      <c r="BM29">
        <v>317</v>
      </c>
      <c r="BN29">
        <v>0</v>
      </c>
      <c r="BO29" t="s">
        <v>20</v>
      </c>
      <c r="BP29">
        <v>1</v>
      </c>
      <c r="BQ29">
        <v>40</v>
      </c>
      <c r="BR29">
        <v>0</v>
      </c>
      <c r="BS29">
        <v>46.67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4</v>
      </c>
      <c r="BZ29">
        <v>92</v>
      </c>
      <c r="CA29">
        <v>43</v>
      </c>
      <c r="CB29" t="s">
        <v>4</v>
      </c>
      <c r="CE29">
        <v>30</v>
      </c>
      <c r="CF29">
        <v>0</v>
      </c>
      <c r="CG29">
        <v>0</v>
      </c>
      <c r="CM29">
        <v>0</v>
      </c>
      <c r="CN29" t="s">
        <v>4</v>
      </c>
      <c r="CO29">
        <v>0</v>
      </c>
      <c r="CP29">
        <f>(P29+Q29+S29)</f>
        <v>70037.429999999993</v>
      </c>
      <c r="CQ29">
        <f>ROUND((ROUND((AC29*AW29*1),2)*BC29),2)</f>
        <v>2367.15</v>
      </c>
      <c r="CR29">
        <f>(ROUND((ROUND(((ET29)*AV29*1),2)*BB29),2)+ROUND((ROUND(((AE29-(EU29))*AV29*1),2)*BS29),2))</f>
        <v>14891.43</v>
      </c>
      <c r="CS29">
        <f>ROUND((ROUND((AE29*AV29*1),2)*BS29),2)</f>
        <v>9547.2800000000007</v>
      </c>
      <c r="CT29">
        <f>ROUND((ROUND((AF29*AV29*1),2)*BA29),2)</f>
        <v>17759.8</v>
      </c>
      <c r="CU29">
        <f>AG29</f>
        <v>0</v>
      </c>
      <c r="CV29">
        <f>(AH29*AV29)</f>
        <v>30.153599999999997</v>
      </c>
      <c r="CW29">
        <f>AI29</f>
        <v>0</v>
      </c>
      <c r="CX29">
        <f>AJ29</f>
        <v>0</v>
      </c>
      <c r="CY29">
        <f>S29*(BZ29/100)</f>
        <v>32678.464400000001</v>
      </c>
      <c r="CZ29">
        <f>S29*(CA29/100)</f>
        <v>15273.6301</v>
      </c>
      <c r="DC29" t="s">
        <v>4</v>
      </c>
      <c r="DD29" t="s">
        <v>4</v>
      </c>
      <c r="DE29" t="s">
        <v>4</v>
      </c>
      <c r="DF29" t="s">
        <v>4</v>
      </c>
      <c r="DG29" t="s">
        <v>4</v>
      </c>
      <c r="DH29" t="s">
        <v>4</v>
      </c>
      <c r="DI29" t="s">
        <v>4</v>
      </c>
      <c r="DJ29" t="s">
        <v>4</v>
      </c>
      <c r="DK29" t="s">
        <v>4</v>
      </c>
      <c r="DL29" t="s">
        <v>4</v>
      </c>
      <c r="DM29" t="s">
        <v>4</v>
      </c>
      <c r="DN29">
        <v>112</v>
      </c>
      <c r="DO29">
        <v>70</v>
      </c>
      <c r="DP29">
        <v>1.0469999999999999</v>
      </c>
      <c r="DQ29">
        <v>1</v>
      </c>
      <c r="DU29">
        <v>1013</v>
      </c>
      <c r="DV29" t="s">
        <v>22</v>
      </c>
      <c r="DW29" t="s">
        <v>22</v>
      </c>
      <c r="DX29">
        <v>1</v>
      </c>
      <c r="DZ29" t="s">
        <v>4</v>
      </c>
      <c r="EA29" t="s">
        <v>4</v>
      </c>
      <c r="EB29" t="s">
        <v>4</v>
      </c>
      <c r="EC29" t="s">
        <v>4</v>
      </c>
      <c r="EE29">
        <v>69252942</v>
      </c>
      <c r="EF29">
        <v>40</v>
      </c>
      <c r="EG29" t="s">
        <v>24</v>
      </c>
      <c r="EH29">
        <v>0</v>
      </c>
      <c r="EI29" t="s">
        <v>4</v>
      </c>
      <c r="EJ29">
        <v>2</v>
      </c>
      <c r="EK29">
        <v>317</v>
      </c>
      <c r="EL29" t="s">
        <v>25</v>
      </c>
      <c r="EM29" t="s">
        <v>26</v>
      </c>
      <c r="EO29" t="s">
        <v>4</v>
      </c>
      <c r="EQ29">
        <v>0</v>
      </c>
      <c r="ER29">
        <v>1178.2</v>
      </c>
      <c r="ES29">
        <v>87.22</v>
      </c>
      <c r="ET29">
        <v>727.52</v>
      </c>
      <c r="EU29">
        <v>195.39</v>
      </c>
      <c r="EV29">
        <v>363.46</v>
      </c>
      <c r="EW29">
        <v>28.8</v>
      </c>
      <c r="EX29">
        <v>0</v>
      </c>
      <c r="EY29">
        <v>0</v>
      </c>
      <c r="FQ29">
        <v>0</v>
      </c>
      <c r="FR29">
        <f>ROUND(IF(BI29=3,GM29,0),2)</f>
        <v>0</v>
      </c>
      <c r="FS29">
        <v>0</v>
      </c>
      <c r="FX29">
        <v>112</v>
      </c>
      <c r="FY29">
        <v>70</v>
      </c>
      <c r="GA29" t="s">
        <v>4</v>
      </c>
      <c r="GD29">
        <v>0</v>
      </c>
      <c r="GF29">
        <v>1987096366</v>
      </c>
      <c r="GG29">
        <v>2</v>
      </c>
      <c r="GH29">
        <v>1</v>
      </c>
      <c r="GI29">
        <v>2</v>
      </c>
      <c r="GJ29">
        <v>0</v>
      </c>
      <c r="GK29">
        <f>ROUND(R29*(S12)/100,2)</f>
        <v>30552.05</v>
      </c>
      <c r="GL29">
        <f>ROUND(IF(AND(BH29=3,BI29=3,FS29&lt;&gt;0),P29,0),2)</f>
        <v>0</v>
      </c>
      <c r="GM29">
        <f>ROUND(O29+X29+Y29+GK29,2)+GX29</f>
        <v>148541.57</v>
      </c>
      <c r="GN29">
        <f>IF(OR(BI29=0,BI29=1),GM29-GX29,0)</f>
        <v>0</v>
      </c>
      <c r="GO29">
        <f>IF(BI29=2,GM29-GX29,0)</f>
        <v>148541.57</v>
      </c>
      <c r="GP29">
        <f>IF(BI29=4,GM29-GX29,0)</f>
        <v>0</v>
      </c>
      <c r="GR29">
        <v>0</v>
      </c>
      <c r="GS29">
        <v>3</v>
      </c>
      <c r="GT29">
        <v>0</v>
      </c>
      <c r="GU29" t="s">
        <v>4</v>
      </c>
      <c r="GV29">
        <f>ROUND((GT29),6)</f>
        <v>0</v>
      </c>
      <c r="GW29">
        <v>1</v>
      </c>
      <c r="GX29">
        <f>ROUND(HC29*I29,2)</f>
        <v>0</v>
      </c>
      <c r="HA29">
        <v>0</v>
      </c>
      <c r="HB29">
        <v>0</v>
      </c>
      <c r="HC29">
        <f>GV29*GW29</f>
        <v>0</v>
      </c>
      <c r="HE29" t="s">
        <v>4</v>
      </c>
      <c r="HF29" t="s">
        <v>4</v>
      </c>
      <c r="HM29" t="s">
        <v>4</v>
      </c>
      <c r="HN29" t="s">
        <v>4</v>
      </c>
      <c r="HO29" t="s">
        <v>4</v>
      </c>
      <c r="HP29" t="s">
        <v>4</v>
      </c>
      <c r="HQ29" t="s">
        <v>4</v>
      </c>
      <c r="IK29">
        <v>0</v>
      </c>
    </row>
    <row r="31" spans="1:255">
      <c r="A31" s="3">
        <v>51</v>
      </c>
      <c r="B31" s="3">
        <f>B24</f>
        <v>1</v>
      </c>
      <c r="C31" s="3">
        <f>A24</f>
        <v>4</v>
      </c>
      <c r="D31" s="3">
        <f>ROW(A24)</f>
        <v>24</v>
      </c>
      <c r="E31" s="3"/>
      <c r="F31" s="3" t="str">
        <f>IF(F24&lt;&gt;"",F24,"")</f>
        <v>Новый раздел</v>
      </c>
      <c r="G31" s="3" t="str">
        <f>IF(G24&lt;&gt;"",G24,"")</f>
        <v>Монтажные работы</v>
      </c>
      <c r="H31" s="3">
        <v>0</v>
      </c>
      <c r="I31" s="3"/>
      <c r="J31" s="3"/>
      <c r="K31" s="3"/>
      <c r="L31" s="3"/>
      <c r="M31" s="3"/>
      <c r="N31" s="3"/>
      <c r="O31" s="3">
        <f t="shared" ref="O31:T31" si="21">ROUND(AB31,2)</f>
        <v>2458.96</v>
      </c>
      <c r="P31" s="3">
        <f t="shared" si="21"/>
        <v>174.44</v>
      </c>
      <c r="Q31" s="3">
        <f t="shared" si="21"/>
        <v>1523.43</v>
      </c>
      <c r="R31" s="3">
        <f t="shared" si="21"/>
        <v>409.15</v>
      </c>
      <c r="S31" s="3">
        <f t="shared" si="21"/>
        <v>761.09</v>
      </c>
      <c r="T31" s="3">
        <f t="shared" si="21"/>
        <v>0</v>
      </c>
      <c r="U31" s="3">
        <f>AH31</f>
        <v>60.307199999999995</v>
      </c>
      <c r="V31" s="3">
        <f>AI31</f>
        <v>0</v>
      </c>
      <c r="W31" s="3">
        <f>ROUND(AJ31,2)</f>
        <v>0</v>
      </c>
      <c r="X31" s="3">
        <f>ROUND(AK31,2)</f>
        <v>852.42</v>
      </c>
      <c r="Y31" s="3">
        <f>ROUND(AL31,2)</f>
        <v>532.76</v>
      </c>
      <c r="Z31" s="3"/>
      <c r="AA31" s="3"/>
      <c r="AB31" s="3">
        <f>ROUND(SUMIF(AA28:AA29,"=70314467",O28:O29),2)</f>
        <v>2458.96</v>
      </c>
      <c r="AC31" s="3">
        <f>ROUND(SUMIF(AA28:AA29,"=70314467",P28:P29),2)</f>
        <v>174.44</v>
      </c>
      <c r="AD31" s="3">
        <f>ROUND(SUMIF(AA28:AA29,"=70314467",Q28:Q29),2)</f>
        <v>1523.43</v>
      </c>
      <c r="AE31" s="3">
        <f>ROUND(SUMIF(AA28:AA29,"=70314467",R28:R29),2)</f>
        <v>409.15</v>
      </c>
      <c r="AF31" s="3">
        <f>ROUND(SUMIF(AA28:AA29,"=70314467",S28:S29),2)</f>
        <v>761.09</v>
      </c>
      <c r="AG31" s="3">
        <f>ROUND(SUMIF(AA28:AA29,"=70314467",T28:T29),2)</f>
        <v>0</v>
      </c>
      <c r="AH31" s="3">
        <f>SUMIF(AA28:AA29,"=70314467",U28:U29)</f>
        <v>60.307199999999995</v>
      </c>
      <c r="AI31" s="3">
        <f>SUMIF(AA28:AA29,"=70314467",V28:V29)</f>
        <v>0</v>
      </c>
      <c r="AJ31" s="3">
        <f>ROUND(SUMIF(AA28:AA29,"=70314467",W28:W29),2)</f>
        <v>0</v>
      </c>
      <c r="AK31" s="3">
        <f>ROUND(SUMIF(AA28:AA29,"=70314467",X28:X29),2)</f>
        <v>852.42</v>
      </c>
      <c r="AL31" s="3">
        <f>ROUND(SUMIF(AA28:AA29,"=70314467",Y28:Y29),2)</f>
        <v>532.76</v>
      </c>
      <c r="AM31" s="3"/>
      <c r="AN31" s="3"/>
      <c r="AO31" s="3">
        <f t="shared" ref="AO31:BD31" si="22">ROUND(BX31,2)</f>
        <v>0</v>
      </c>
      <c r="AP31" s="3">
        <f t="shared" si="22"/>
        <v>0</v>
      </c>
      <c r="AQ31" s="3">
        <f t="shared" si="22"/>
        <v>0</v>
      </c>
      <c r="AR31" s="3">
        <f t="shared" si="22"/>
        <v>4560.1499999999996</v>
      </c>
      <c r="AS31" s="3">
        <f t="shared" si="22"/>
        <v>0</v>
      </c>
      <c r="AT31" s="3">
        <f t="shared" si="22"/>
        <v>4560.1499999999996</v>
      </c>
      <c r="AU31" s="3">
        <f t="shared" si="22"/>
        <v>0</v>
      </c>
      <c r="AV31" s="3">
        <f t="shared" si="22"/>
        <v>174.44</v>
      </c>
      <c r="AW31" s="3">
        <f t="shared" si="22"/>
        <v>174.44</v>
      </c>
      <c r="AX31" s="3">
        <f t="shared" si="22"/>
        <v>0</v>
      </c>
      <c r="AY31" s="3">
        <f t="shared" si="22"/>
        <v>174.44</v>
      </c>
      <c r="AZ31" s="3">
        <f t="shared" si="22"/>
        <v>0</v>
      </c>
      <c r="BA31" s="3">
        <f t="shared" si="22"/>
        <v>0</v>
      </c>
      <c r="BB31" s="3">
        <f t="shared" si="22"/>
        <v>0</v>
      </c>
      <c r="BC31" s="3">
        <f t="shared" si="22"/>
        <v>0</v>
      </c>
      <c r="BD31" s="3">
        <f t="shared" si="22"/>
        <v>0</v>
      </c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>
        <f>ROUND(SUMIF(AA28:AA29,"=70314467",FQ28:FQ29),2)</f>
        <v>0</v>
      </c>
      <c r="BY31" s="3">
        <f>ROUND(SUMIF(AA28:AA29,"=70314467",FR28:FR29),2)</f>
        <v>0</v>
      </c>
      <c r="BZ31" s="3">
        <f>ROUND(SUMIF(AA28:AA29,"=70314467",GL28:GL29),2)</f>
        <v>0</v>
      </c>
      <c r="CA31" s="3">
        <f>ROUND(SUMIF(AA28:AA29,"=70314467",GM28:GM29),2)</f>
        <v>4560.1499999999996</v>
      </c>
      <c r="CB31" s="3">
        <f>ROUND(SUMIF(AA28:AA29,"=70314467",GN28:GN29),2)</f>
        <v>0</v>
      </c>
      <c r="CC31" s="3">
        <f>ROUND(SUMIF(AA28:AA29,"=70314467",GO28:GO29),2)</f>
        <v>4560.1499999999996</v>
      </c>
      <c r="CD31" s="3">
        <f>ROUND(SUMIF(AA28:AA29,"=70314467",GP28:GP29),2)</f>
        <v>0</v>
      </c>
      <c r="CE31" s="3">
        <f>AC31-BX31</f>
        <v>174.44</v>
      </c>
      <c r="CF31" s="3">
        <f>AC31-BY31</f>
        <v>174.44</v>
      </c>
      <c r="CG31" s="3">
        <f>BX31-BZ31</f>
        <v>0</v>
      </c>
      <c r="CH31" s="3">
        <f>AC31-BX31-BY31+BZ31</f>
        <v>174.44</v>
      </c>
      <c r="CI31" s="3">
        <f>BY31-BZ31</f>
        <v>0</v>
      </c>
      <c r="CJ31" s="3">
        <f>ROUND(SUMIF(AA28:AA29,"=70314467",GX28:GX29),2)</f>
        <v>0</v>
      </c>
      <c r="CK31" s="3">
        <f>ROUND(SUMIF(AA28:AA29,"=70314467",GY28:GY29),2)</f>
        <v>0</v>
      </c>
      <c r="CL31" s="3">
        <f>ROUND(SUMIF(AA28:AA29,"=70314467",GZ28:GZ29),2)</f>
        <v>0</v>
      </c>
      <c r="CM31" s="3">
        <f>ROUND(SUMIF(AA28:AA29,"=70314467",HD28:HD29),2)</f>
        <v>0</v>
      </c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4">
        <f t="shared" ref="DG31:DL31" si="23">ROUND(DT31,2)</f>
        <v>70037.429999999993</v>
      </c>
      <c r="DH31" s="4">
        <f t="shared" si="23"/>
        <v>4734.3</v>
      </c>
      <c r="DI31" s="4">
        <f t="shared" si="23"/>
        <v>29783.06</v>
      </c>
      <c r="DJ31" s="4">
        <f t="shared" si="23"/>
        <v>19095.03</v>
      </c>
      <c r="DK31" s="4">
        <f t="shared" si="23"/>
        <v>35520.07</v>
      </c>
      <c r="DL31" s="4">
        <f t="shared" si="23"/>
        <v>0</v>
      </c>
      <c r="DM31" s="4">
        <f>DZ31</f>
        <v>60.307199999999995</v>
      </c>
      <c r="DN31" s="4">
        <f>EA31</f>
        <v>0</v>
      </c>
      <c r="DO31" s="4">
        <f>ROUND(EB31,2)</f>
        <v>0</v>
      </c>
      <c r="DP31" s="4">
        <f>ROUND(EC31,2)</f>
        <v>32678.46</v>
      </c>
      <c r="DQ31" s="4">
        <f>ROUND(ED31,2)</f>
        <v>15273.63</v>
      </c>
      <c r="DR31" s="4"/>
      <c r="DS31" s="4"/>
      <c r="DT31" s="4">
        <f>ROUND(SUMIF(AA28:AA29,"=70314464",O28:O29),2)</f>
        <v>70037.429999999993</v>
      </c>
      <c r="DU31" s="4">
        <f>ROUND(SUMIF(AA28:AA29,"=70314464",P28:P29),2)</f>
        <v>4734.3</v>
      </c>
      <c r="DV31" s="4">
        <f>ROUND(SUMIF(AA28:AA29,"=70314464",Q28:Q29),2)</f>
        <v>29783.06</v>
      </c>
      <c r="DW31" s="4">
        <f>ROUND(SUMIF(AA28:AA29,"=70314464",R28:R29),2)</f>
        <v>19095.03</v>
      </c>
      <c r="DX31" s="4">
        <f>ROUND(SUMIF(AA28:AA29,"=70314464",S28:S29),2)</f>
        <v>35520.07</v>
      </c>
      <c r="DY31" s="4">
        <f>ROUND(SUMIF(AA28:AA29,"=70314464",T28:T29),2)</f>
        <v>0</v>
      </c>
      <c r="DZ31" s="4">
        <f>SUMIF(AA28:AA29,"=70314464",U28:U29)</f>
        <v>60.307199999999995</v>
      </c>
      <c r="EA31" s="4">
        <f>SUMIF(AA28:AA29,"=70314464",V28:V29)</f>
        <v>0</v>
      </c>
      <c r="EB31" s="4">
        <f>ROUND(SUMIF(AA28:AA29,"=70314464",W28:W29),2)</f>
        <v>0</v>
      </c>
      <c r="EC31" s="4">
        <f>ROUND(SUMIF(AA28:AA29,"=70314464",X28:X29),2)</f>
        <v>32678.46</v>
      </c>
      <c r="ED31" s="4">
        <f>ROUND(SUMIF(AA28:AA29,"=70314464",Y28:Y29),2)</f>
        <v>15273.63</v>
      </c>
      <c r="EE31" s="4"/>
      <c r="EF31" s="4"/>
      <c r="EG31" s="4">
        <f t="shared" ref="EG31:EV31" si="24">ROUND(FP31,2)</f>
        <v>0</v>
      </c>
      <c r="EH31" s="4">
        <f t="shared" si="24"/>
        <v>0</v>
      </c>
      <c r="EI31" s="4">
        <f t="shared" si="24"/>
        <v>0</v>
      </c>
      <c r="EJ31" s="4">
        <f t="shared" si="24"/>
        <v>148541.57</v>
      </c>
      <c r="EK31" s="4">
        <f t="shared" si="24"/>
        <v>0</v>
      </c>
      <c r="EL31" s="4">
        <f t="shared" si="24"/>
        <v>148541.57</v>
      </c>
      <c r="EM31" s="4">
        <f t="shared" si="24"/>
        <v>0</v>
      </c>
      <c r="EN31" s="4">
        <f t="shared" si="24"/>
        <v>4734.3</v>
      </c>
      <c r="EO31" s="4">
        <f t="shared" si="24"/>
        <v>4734.3</v>
      </c>
      <c r="EP31" s="4">
        <f t="shared" si="24"/>
        <v>0</v>
      </c>
      <c r="EQ31" s="4">
        <f t="shared" si="24"/>
        <v>4734.3</v>
      </c>
      <c r="ER31" s="4">
        <f t="shared" si="24"/>
        <v>0</v>
      </c>
      <c r="ES31" s="4">
        <f t="shared" si="24"/>
        <v>0</v>
      </c>
      <c r="ET31" s="4">
        <f t="shared" si="24"/>
        <v>0</v>
      </c>
      <c r="EU31" s="4">
        <f t="shared" si="24"/>
        <v>0</v>
      </c>
      <c r="EV31" s="4">
        <f t="shared" si="24"/>
        <v>0</v>
      </c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>
        <f>ROUND(SUMIF(AA28:AA29,"=70314464",FQ28:FQ29),2)</f>
        <v>0</v>
      </c>
      <c r="FQ31" s="4">
        <f>ROUND(SUMIF(AA28:AA29,"=70314464",FR28:FR29),2)</f>
        <v>0</v>
      </c>
      <c r="FR31" s="4">
        <f>ROUND(SUMIF(AA28:AA29,"=70314464",GL28:GL29),2)</f>
        <v>0</v>
      </c>
      <c r="FS31" s="4">
        <f>ROUND(SUMIF(AA28:AA29,"=70314464",GM28:GM29),2)</f>
        <v>148541.57</v>
      </c>
      <c r="FT31" s="4">
        <f>ROUND(SUMIF(AA28:AA29,"=70314464",GN28:GN29),2)</f>
        <v>0</v>
      </c>
      <c r="FU31" s="4">
        <f>ROUND(SUMIF(AA28:AA29,"=70314464",GO28:GO29),2)</f>
        <v>148541.57</v>
      </c>
      <c r="FV31" s="4">
        <f>ROUND(SUMIF(AA28:AA29,"=70314464",GP28:GP29),2)</f>
        <v>0</v>
      </c>
      <c r="FW31" s="4">
        <f>DU31-FP31</f>
        <v>4734.3</v>
      </c>
      <c r="FX31" s="4">
        <f>DU31-FQ31</f>
        <v>4734.3</v>
      </c>
      <c r="FY31" s="4">
        <f>FP31-FR31</f>
        <v>0</v>
      </c>
      <c r="FZ31" s="4">
        <f>DU31-FP31-FQ31+FR31</f>
        <v>4734.3</v>
      </c>
      <c r="GA31" s="4">
        <f>FQ31-FR31</f>
        <v>0</v>
      </c>
      <c r="GB31" s="4">
        <f>ROUND(SUMIF(AA28:AA29,"=70314464",GX28:GX29),2)</f>
        <v>0</v>
      </c>
      <c r="GC31" s="4">
        <f>ROUND(SUMIF(AA28:AA29,"=70314464",GY28:GY29),2)</f>
        <v>0</v>
      </c>
      <c r="GD31" s="4">
        <f>ROUND(SUMIF(AA28:AA29,"=70314464",GZ28:GZ29),2)</f>
        <v>0</v>
      </c>
      <c r="GE31" s="4">
        <f>ROUND(SUMIF(AA28:AA29,"=70314464",HD28:HD29),2)</f>
        <v>0</v>
      </c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>
        <v>0</v>
      </c>
    </row>
    <row r="33" spans="1:28">
      <c r="A33" s="5">
        <v>50</v>
      </c>
      <c r="B33" s="5">
        <v>0</v>
      </c>
      <c r="C33" s="5">
        <v>0</v>
      </c>
      <c r="D33" s="5">
        <v>1</v>
      </c>
      <c r="E33" s="5">
        <v>201</v>
      </c>
      <c r="F33" s="5">
        <f>ROUND(Source!O31,O33)</f>
        <v>2458.96</v>
      </c>
      <c r="G33" s="5" t="s">
        <v>27</v>
      </c>
      <c r="H33" s="5" t="s">
        <v>28</v>
      </c>
      <c r="I33" s="5"/>
      <c r="J33" s="5"/>
      <c r="K33" s="5">
        <v>201</v>
      </c>
      <c r="L33" s="5">
        <v>1</v>
      </c>
      <c r="M33" s="5">
        <v>3</v>
      </c>
      <c r="N33" s="5" t="s">
        <v>4</v>
      </c>
      <c r="O33" s="5">
        <v>2</v>
      </c>
      <c r="P33" s="5">
        <f>ROUND(Source!DG31,O33)</f>
        <v>70037.429999999993</v>
      </c>
      <c r="Q33" s="5"/>
      <c r="R33" s="5"/>
      <c r="S33" s="5"/>
      <c r="T33" s="5"/>
      <c r="U33" s="5"/>
      <c r="V33" s="5"/>
      <c r="W33" s="5">
        <v>2458.96</v>
      </c>
      <c r="X33" s="5">
        <v>1</v>
      </c>
      <c r="Y33" s="5">
        <v>2458.96</v>
      </c>
      <c r="Z33" s="5">
        <v>70037.429999999993</v>
      </c>
      <c r="AA33" s="5">
        <v>1</v>
      </c>
      <c r="AB33" s="5">
        <v>70037.429999999993</v>
      </c>
    </row>
    <row r="34" spans="1:28">
      <c r="A34" s="5">
        <v>50</v>
      </c>
      <c r="B34" s="5">
        <v>0</v>
      </c>
      <c r="C34" s="5">
        <v>0</v>
      </c>
      <c r="D34" s="5">
        <v>1</v>
      </c>
      <c r="E34" s="5">
        <v>202</v>
      </c>
      <c r="F34" s="5">
        <f>ROUND(Source!P31,O34)</f>
        <v>174.44</v>
      </c>
      <c r="G34" s="5" t="s">
        <v>29</v>
      </c>
      <c r="H34" s="5" t="s">
        <v>30</v>
      </c>
      <c r="I34" s="5"/>
      <c r="J34" s="5"/>
      <c r="K34" s="5">
        <v>202</v>
      </c>
      <c r="L34" s="5">
        <v>2</v>
      </c>
      <c r="M34" s="5">
        <v>3</v>
      </c>
      <c r="N34" s="5" t="s">
        <v>4</v>
      </c>
      <c r="O34" s="5">
        <v>2</v>
      </c>
      <c r="P34" s="5">
        <f>ROUND(Source!DH31,O34)</f>
        <v>4734.3</v>
      </c>
      <c r="Q34" s="5"/>
      <c r="R34" s="5"/>
      <c r="S34" s="5"/>
      <c r="T34" s="5"/>
      <c r="U34" s="5"/>
      <c r="V34" s="5"/>
      <c r="W34" s="5">
        <v>174.44</v>
      </c>
      <c r="X34" s="5">
        <v>1</v>
      </c>
      <c r="Y34" s="5">
        <v>174.44</v>
      </c>
      <c r="Z34" s="5">
        <v>4734.3</v>
      </c>
      <c r="AA34" s="5">
        <v>1</v>
      </c>
      <c r="AB34" s="5">
        <v>4734.3</v>
      </c>
    </row>
    <row r="35" spans="1:28">
      <c r="A35" s="5">
        <v>50</v>
      </c>
      <c r="B35" s="5">
        <v>0</v>
      </c>
      <c r="C35" s="5">
        <v>0</v>
      </c>
      <c r="D35" s="5">
        <v>1</v>
      </c>
      <c r="E35" s="5">
        <v>222</v>
      </c>
      <c r="F35" s="5">
        <f>ROUND(Source!AO31,O35)</f>
        <v>0</v>
      </c>
      <c r="G35" s="5" t="s">
        <v>31</v>
      </c>
      <c r="H35" s="5" t="s">
        <v>32</v>
      </c>
      <c r="I35" s="5"/>
      <c r="J35" s="5"/>
      <c r="K35" s="5">
        <v>222</v>
      </c>
      <c r="L35" s="5">
        <v>3</v>
      </c>
      <c r="M35" s="5">
        <v>3</v>
      </c>
      <c r="N35" s="5" t="s">
        <v>4</v>
      </c>
      <c r="O35" s="5">
        <v>2</v>
      </c>
      <c r="P35" s="5">
        <f>ROUND(Source!EG31,O35)</f>
        <v>0</v>
      </c>
      <c r="Q35" s="5"/>
      <c r="R35" s="5"/>
      <c r="S35" s="5"/>
      <c r="T35" s="5"/>
      <c r="U35" s="5"/>
      <c r="V35" s="5"/>
      <c r="W35" s="5">
        <v>0</v>
      </c>
      <c r="X35" s="5">
        <v>1</v>
      </c>
      <c r="Y35" s="5">
        <v>0</v>
      </c>
      <c r="Z35" s="5">
        <v>0</v>
      </c>
      <c r="AA35" s="5">
        <v>1</v>
      </c>
      <c r="AB35" s="5">
        <v>0</v>
      </c>
    </row>
    <row r="36" spans="1:28">
      <c r="A36" s="5">
        <v>50</v>
      </c>
      <c r="B36" s="5">
        <v>0</v>
      </c>
      <c r="C36" s="5">
        <v>0</v>
      </c>
      <c r="D36" s="5">
        <v>1</v>
      </c>
      <c r="E36" s="5">
        <v>225</v>
      </c>
      <c r="F36" s="5">
        <f>ROUND(Source!AV31,O36)</f>
        <v>174.44</v>
      </c>
      <c r="G36" s="5" t="s">
        <v>33</v>
      </c>
      <c r="H36" s="5" t="s">
        <v>34</v>
      </c>
      <c r="I36" s="5"/>
      <c r="J36" s="5"/>
      <c r="K36" s="5">
        <v>225</v>
      </c>
      <c r="L36" s="5">
        <v>4</v>
      </c>
      <c r="M36" s="5">
        <v>3</v>
      </c>
      <c r="N36" s="5" t="s">
        <v>4</v>
      </c>
      <c r="O36" s="5">
        <v>2</v>
      </c>
      <c r="P36" s="5">
        <f>ROUND(Source!EN31,O36)</f>
        <v>4734.3</v>
      </c>
      <c r="Q36" s="5"/>
      <c r="R36" s="5"/>
      <c r="S36" s="5"/>
      <c r="T36" s="5"/>
      <c r="U36" s="5"/>
      <c r="V36" s="5"/>
      <c r="W36" s="5">
        <v>174.44</v>
      </c>
      <c r="X36" s="5">
        <v>1</v>
      </c>
      <c r="Y36" s="5">
        <v>174.44</v>
      </c>
      <c r="Z36" s="5">
        <v>4734.3</v>
      </c>
      <c r="AA36" s="5">
        <v>1</v>
      </c>
      <c r="AB36" s="5">
        <v>4734.3</v>
      </c>
    </row>
    <row r="37" spans="1:28">
      <c r="A37" s="5">
        <v>50</v>
      </c>
      <c r="B37" s="5">
        <v>0</v>
      </c>
      <c r="C37" s="5">
        <v>0</v>
      </c>
      <c r="D37" s="5">
        <v>1</v>
      </c>
      <c r="E37" s="5">
        <v>226</v>
      </c>
      <c r="F37" s="5">
        <f>ROUND(Source!AW31,O37)</f>
        <v>174.44</v>
      </c>
      <c r="G37" s="5" t="s">
        <v>35</v>
      </c>
      <c r="H37" s="5" t="s">
        <v>36</v>
      </c>
      <c r="I37" s="5"/>
      <c r="J37" s="5"/>
      <c r="K37" s="5">
        <v>226</v>
      </c>
      <c r="L37" s="5">
        <v>5</v>
      </c>
      <c r="M37" s="5">
        <v>3</v>
      </c>
      <c r="N37" s="5" t="s">
        <v>4</v>
      </c>
      <c r="O37" s="5">
        <v>2</v>
      </c>
      <c r="P37" s="5">
        <f>ROUND(Source!EO31,O37)</f>
        <v>4734.3</v>
      </c>
      <c r="Q37" s="5"/>
      <c r="R37" s="5"/>
      <c r="S37" s="5"/>
      <c r="T37" s="5"/>
      <c r="U37" s="5"/>
      <c r="V37" s="5"/>
      <c r="W37" s="5">
        <v>174.44</v>
      </c>
      <c r="X37" s="5">
        <v>1</v>
      </c>
      <c r="Y37" s="5">
        <v>174.44</v>
      </c>
      <c r="Z37" s="5">
        <v>4734.3</v>
      </c>
      <c r="AA37" s="5">
        <v>1</v>
      </c>
      <c r="AB37" s="5">
        <v>4734.3</v>
      </c>
    </row>
    <row r="38" spans="1:28">
      <c r="A38" s="5">
        <v>50</v>
      </c>
      <c r="B38" s="5">
        <v>0</v>
      </c>
      <c r="C38" s="5">
        <v>0</v>
      </c>
      <c r="D38" s="5">
        <v>1</v>
      </c>
      <c r="E38" s="5">
        <v>227</v>
      </c>
      <c r="F38" s="5">
        <f>ROUND(Source!AX31,O38)</f>
        <v>0</v>
      </c>
      <c r="G38" s="5" t="s">
        <v>37</v>
      </c>
      <c r="H38" s="5" t="s">
        <v>38</v>
      </c>
      <c r="I38" s="5"/>
      <c r="J38" s="5"/>
      <c r="K38" s="5">
        <v>227</v>
      </c>
      <c r="L38" s="5">
        <v>6</v>
      </c>
      <c r="M38" s="5">
        <v>3</v>
      </c>
      <c r="N38" s="5" t="s">
        <v>4</v>
      </c>
      <c r="O38" s="5">
        <v>2</v>
      </c>
      <c r="P38" s="5">
        <f>ROUND(Source!EP31,O38)</f>
        <v>0</v>
      </c>
      <c r="Q38" s="5"/>
      <c r="R38" s="5"/>
      <c r="S38" s="5"/>
      <c r="T38" s="5"/>
      <c r="U38" s="5"/>
      <c r="V38" s="5"/>
      <c r="W38" s="5">
        <v>0</v>
      </c>
      <c r="X38" s="5">
        <v>1</v>
      </c>
      <c r="Y38" s="5">
        <v>0</v>
      </c>
      <c r="Z38" s="5">
        <v>0</v>
      </c>
      <c r="AA38" s="5">
        <v>1</v>
      </c>
      <c r="AB38" s="5">
        <v>0</v>
      </c>
    </row>
    <row r="39" spans="1:28">
      <c r="A39" s="5">
        <v>50</v>
      </c>
      <c r="B39" s="5">
        <v>0</v>
      </c>
      <c r="C39" s="5">
        <v>0</v>
      </c>
      <c r="D39" s="5">
        <v>1</v>
      </c>
      <c r="E39" s="5">
        <v>228</v>
      </c>
      <c r="F39" s="5">
        <f>ROUND(Source!AY31,O39)</f>
        <v>174.44</v>
      </c>
      <c r="G39" s="5" t="s">
        <v>39</v>
      </c>
      <c r="H39" s="5" t="s">
        <v>40</v>
      </c>
      <c r="I39" s="5"/>
      <c r="J39" s="5"/>
      <c r="K39" s="5">
        <v>228</v>
      </c>
      <c r="L39" s="5">
        <v>7</v>
      </c>
      <c r="M39" s="5">
        <v>3</v>
      </c>
      <c r="N39" s="5" t="s">
        <v>4</v>
      </c>
      <c r="O39" s="5">
        <v>2</v>
      </c>
      <c r="P39" s="5">
        <f>ROUND(Source!EQ31,O39)</f>
        <v>4734.3</v>
      </c>
      <c r="Q39" s="5"/>
      <c r="R39" s="5"/>
      <c r="S39" s="5"/>
      <c r="T39" s="5"/>
      <c r="U39" s="5"/>
      <c r="V39" s="5"/>
      <c r="W39" s="5">
        <v>174.44</v>
      </c>
      <c r="X39" s="5">
        <v>1</v>
      </c>
      <c r="Y39" s="5">
        <v>174.44</v>
      </c>
      <c r="Z39" s="5">
        <v>4734.3</v>
      </c>
      <c r="AA39" s="5">
        <v>1</v>
      </c>
      <c r="AB39" s="5">
        <v>4734.3</v>
      </c>
    </row>
    <row r="40" spans="1:28">
      <c r="A40" s="5">
        <v>50</v>
      </c>
      <c r="B40" s="5">
        <v>0</v>
      </c>
      <c r="C40" s="5">
        <v>0</v>
      </c>
      <c r="D40" s="5">
        <v>1</v>
      </c>
      <c r="E40" s="5">
        <v>216</v>
      </c>
      <c r="F40" s="5">
        <f>ROUND(Source!AP31,O40)</f>
        <v>0</v>
      </c>
      <c r="G40" s="5" t="s">
        <v>41</v>
      </c>
      <c r="H40" s="5" t="s">
        <v>42</v>
      </c>
      <c r="I40" s="5"/>
      <c r="J40" s="5"/>
      <c r="K40" s="5">
        <v>216</v>
      </c>
      <c r="L40" s="5">
        <v>8</v>
      </c>
      <c r="M40" s="5">
        <v>3</v>
      </c>
      <c r="N40" s="5" t="s">
        <v>4</v>
      </c>
      <c r="O40" s="5">
        <v>2</v>
      </c>
      <c r="P40" s="5">
        <f>ROUND(Source!EH31,O40)</f>
        <v>0</v>
      </c>
      <c r="Q40" s="5"/>
      <c r="R40" s="5"/>
      <c r="S40" s="5"/>
      <c r="T40" s="5"/>
      <c r="U40" s="5"/>
      <c r="V40" s="5"/>
      <c r="W40" s="5">
        <v>0</v>
      </c>
      <c r="X40" s="5">
        <v>1</v>
      </c>
      <c r="Y40" s="5">
        <v>0</v>
      </c>
      <c r="Z40" s="5">
        <v>0</v>
      </c>
      <c r="AA40" s="5">
        <v>1</v>
      </c>
      <c r="AB40" s="5">
        <v>0</v>
      </c>
    </row>
    <row r="41" spans="1:28">
      <c r="A41" s="5">
        <v>50</v>
      </c>
      <c r="B41" s="5">
        <v>0</v>
      </c>
      <c r="C41" s="5">
        <v>0</v>
      </c>
      <c r="D41" s="5">
        <v>1</v>
      </c>
      <c r="E41" s="5">
        <v>223</v>
      </c>
      <c r="F41" s="5">
        <f>ROUND(Source!AQ31,O41)</f>
        <v>0</v>
      </c>
      <c r="G41" s="5" t="s">
        <v>43</v>
      </c>
      <c r="H41" s="5" t="s">
        <v>44</v>
      </c>
      <c r="I41" s="5"/>
      <c r="J41" s="5"/>
      <c r="K41" s="5">
        <v>223</v>
      </c>
      <c r="L41" s="5">
        <v>9</v>
      </c>
      <c r="M41" s="5">
        <v>3</v>
      </c>
      <c r="N41" s="5" t="s">
        <v>4</v>
      </c>
      <c r="O41" s="5">
        <v>2</v>
      </c>
      <c r="P41" s="5">
        <f>ROUND(Source!EI31,O41)</f>
        <v>0</v>
      </c>
      <c r="Q41" s="5"/>
      <c r="R41" s="5"/>
      <c r="S41" s="5"/>
      <c r="T41" s="5"/>
      <c r="U41" s="5"/>
      <c r="V41" s="5"/>
      <c r="W41" s="5">
        <v>0</v>
      </c>
      <c r="X41" s="5">
        <v>1</v>
      </c>
      <c r="Y41" s="5">
        <v>0</v>
      </c>
      <c r="Z41" s="5">
        <v>0</v>
      </c>
      <c r="AA41" s="5">
        <v>1</v>
      </c>
      <c r="AB41" s="5">
        <v>0</v>
      </c>
    </row>
    <row r="42" spans="1:28">
      <c r="A42" s="5">
        <v>50</v>
      </c>
      <c r="B42" s="5">
        <v>0</v>
      </c>
      <c r="C42" s="5">
        <v>0</v>
      </c>
      <c r="D42" s="5">
        <v>1</v>
      </c>
      <c r="E42" s="5">
        <v>229</v>
      </c>
      <c r="F42" s="5">
        <f>ROUND(Source!AZ31,O42)</f>
        <v>0</v>
      </c>
      <c r="G42" s="5" t="s">
        <v>45</v>
      </c>
      <c r="H42" s="5" t="s">
        <v>46</v>
      </c>
      <c r="I42" s="5"/>
      <c r="J42" s="5"/>
      <c r="K42" s="5">
        <v>229</v>
      </c>
      <c r="L42" s="5">
        <v>10</v>
      </c>
      <c r="M42" s="5">
        <v>3</v>
      </c>
      <c r="N42" s="5" t="s">
        <v>4</v>
      </c>
      <c r="O42" s="5">
        <v>2</v>
      </c>
      <c r="P42" s="5">
        <f>ROUND(Source!ER31,O42)</f>
        <v>0</v>
      </c>
      <c r="Q42" s="5"/>
      <c r="R42" s="5"/>
      <c r="S42" s="5"/>
      <c r="T42" s="5"/>
      <c r="U42" s="5"/>
      <c r="V42" s="5"/>
      <c r="W42" s="5">
        <v>0</v>
      </c>
      <c r="X42" s="5">
        <v>1</v>
      </c>
      <c r="Y42" s="5">
        <v>0</v>
      </c>
      <c r="Z42" s="5">
        <v>0</v>
      </c>
      <c r="AA42" s="5">
        <v>1</v>
      </c>
      <c r="AB42" s="5">
        <v>0</v>
      </c>
    </row>
    <row r="43" spans="1:28">
      <c r="A43" s="5">
        <v>50</v>
      </c>
      <c r="B43" s="5">
        <v>0</v>
      </c>
      <c r="C43" s="5">
        <v>0</v>
      </c>
      <c r="D43" s="5">
        <v>1</v>
      </c>
      <c r="E43" s="5">
        <v>203</v>
      </c>
      <c r="F43" s="5">
        <f>ROUND(Source!Q31,O43)</f>
        <v>1523.43</v>
      </c>
      <c r="G43" s="5" t="s">
        <v>47</v>
      </c>
      <c r="H43" s="5" t="s">
        <v>48</v>
      </c>
      <c r="I43" s="5"/>
      <c r="J43" s="5"/>
      <c r="K43" s="5">
        <v>203</v>
      </c>
      <c r="L43" s="5">
        <v>11</v>
      </c>
      <c r="M43" s="5">
        <v>3</v>
      </c>
      <c r="N43" s="5" t="s">
        <v>4</v>
      </c>
      <c r="O43" s="5">
        <v>2</v>
      </c>
      <c r="P43" s="5">
        <f>ROUND(Source!DI31,O43)</f>
        <v>29783.06</v>
      </c>
      <c r="Q43" s="5"/>
      <c r="R43" s="5"/>
      <c r="S43" s="5"/>
      <c r="T43" s="5"/>
      <c r="U43" s="5"/>
      <c r="V43" s="5"/>
      <c r="W43" s="5">
        <v>1523.43</v>
      </c>
      <c r="X43" s="5">
        <v>1</v>
      </c>
      <c r="Y43" s="5">
        <v>1523.43</v>
      </c>
      <c r="Z43" s="5">
        <v>29783.06</v>
      </c>
      <c r="AA43" s="5">
        <v>1</v>
      </c>
      <c r="AB43" s="5">
        <v>29783.06</v>
      </c>
    </row>
    <row r="44" spans="1:28">
      <c r="A44" s="5">
        <v>50</v>
      </c>
      <c r="B44" s="5">
        <v>0</v>
      </c>
      <c r="C44" s="5">
        <v>0</v>
      </c>
      <c r="D44" s="5">
        <v>1</v>
      </c>
      <c r="E44" s="5">
        <v>231</v>
      </c>
      <c r="F44" s="5">
        <f>ROUND(Source!BB31,O44)</f>
        <v>0</v>
      </c>
      <c r="G44" s="5" t="s">
        <v>49</v>
      </c>
      <c r="H44" s="5" t="s">
        <v>50</v>
      </c>
      <c r="I44" s="5"/>
      <c r="J44" s="5"/>
      <c r="K44" s="5">
        <v>231</v>
      </c>
      <c r="L44" s="5">
        <v>12</v>
      </c>
      <c r="M44" s="5">
        <v>3</v>
      </c>
      <c r="N44" s="5" t="s">
        <v>4</v>
      </c>
      <c r="O44" s="5">
        <v>2</v>
      </c>
      <c r="P44" s="5">
        <f>ROUND(Source!ET31,O44)</f>
        <v>0</v>
      </c>
      <c r="Q44" s="5"/>
      <c r="R44" s="5"/>
      <c r="S44" s="5"/>
      <c r="T44" s="5"/>
      <c r="U44" s="5"/>
      <c r="V44" s="5"/>
      <c r="W44" s="5">
        <v>0</v>
      </c>
      <c r="X44" s="5">
        <v>1</v>
      </c>
      <c r="Y44" s="5">
        <v>0</v>
      </c>
      <c r="Z44" s="5">
        <v>0</v>
      </c>
      <c r="AA44" s="5">
        <v>1</v>
      </c>
      <c r="AB44" s="5">
        <v>0</v>
      </c>
    </row>
    <row r="45" spans="1:28">
      <c r="A45" s="5">
        <v>50</v>
      </c>
      <c r="B45" s="5">
        <v>0</v>
      </c>
      <c r="C45" s="5">
        <v>0</v>
      </c>
      <c r="D45" s="5">
        <v>1</v>
      </c>
      <c r="E45" s="5">
        <v>204</v>
      </c>
      <c r="F45" s="5">
        <f>ROUND(Source!R31,O45)</f>
        <v>409.15</v>
      </c>
      <c r="G45" s="5" t="s">
        <v>51</v>
      </c>
      <c r="H45" s="5" t="s">
        <v>52</v>
      </c>
      <c r="I45" s="5"/>
      <c r="J45" s="5"/>
      <c r="K45" s="5">
        <v>204</v>
      </c>
      <c r="L45" s="5">
        <v>13</v>
      </c>
      <c r="M45" s="5">
        <v>3</v>
      </c>
      <c r="N45" s="5" t="s">
        <v>4</v>
      </c>
      <c r="O45" s="5">
        <v>2</v>
      </c>
      <c r="P45" s="5">
        <f>ROUND(Source!DJ31,O45)</f>
        <v>19095.03</v>
      </c>
      <c r="Q45" s="5"/>
      <c r="R45" s="5"/>
      <c r="S45" s="5"/>
      <c r="T45" s="5"/>
      <c r="U45" s="5"/>
      <c r="V45" s="5"/>
      <c r="W45" s="5">
        <v>409.15</v>
      </c>
      <c r="X45" s="5">
        <v>1</v>
      </c>
      <c r="Y45" s="5">
        <v>409.15</v>
      </c>
      <c r="Z45" s="5">
        <v>19095.03</v>
      </c>
      <c r="AA45" s="5">
        <v>1</v>
      </c>
      <c r="AB45" s="5">
        <v>19095.03</v>
      </c>
    </row>
    <row r="46" spans="1:28">
      <c r="A46" s="5">
        <v>50</v>
      </c>
      <c r="B46" s="5">
        <v>0</v>
      </c>
      <c r="C46" s="5">
        <v>0</v>
      </c>
      <c r="D46" s="5">
        <v>1</v>
      </c>
      <c r="E46" s="5">
        <v>205</v>
      </c>
      <c r="F46" s="5">
        <f>ROUND(Source!S31,O46)</f>
        <v>761.09</v>
      </c>
      <c r="G46" s="5" t="s">
        <v>53</v>
      </c>
      <c r="H46" s="5" t="s">
        <v>54</v>
      </c>
      <c r="I46" s="5"/>
      <c r="J46" s="5"/>
      <c r="K46" s="5">
        <v>205</v>
      </c>
      <c r="L46" s="5">
        <v>14</v>
      </c>
      <c r="M46" s="5">
        <v>3</v>
      </c>
      <c r="N46" s="5" t="s">
        <v>4</v>
      </c>
      <c r="O46" s="5">
        <v>2</v>
      </c>
      <c r="P46" s="5">
        <f>ROUND(Source!DK31,O46)</f>
        <v>35520.07</v>
      </c>
      <c r="Q46" s="5"/>
      <c r="R46" s="5"/>
      <c r="S46" s="5"/>
      <c r="T46" s="5"/>
      <c r="U46" s="5"/>
      <c r="V46" s="5"/>
      <c r="W46" s="5">
        <v>761.09</v>
      </c>
      <c r="X46" s="5">
        <v>1</v>
      </c>
      <c r="Y46" s="5">
        <v>761.09</v>
      </c>
      <c r="Z46" s="5">
        <v>35520.07</v>
      </c>
      <c r="AA46" s="5">
        <v>1</v>
      </c>
      <c r="AB46" s="5">
        <v>35520.07</v>
      </c>
    </row>
    <row r="47" spans="1:28">
      <c r="A47" s="5">
        <v>50</v>
      </c>
      <c r="B47" s="5">
        <v>0</v>
      </c>
      <c r="C47" s="5">
        <v>0</v>
      </c>
      <c r="D47" s="5">
        <v>1</v>
      </c>
      <c r="E47" s="5">
        <v>232</v>
      </c>
      <c r="F47" s="5">
        <f>ROUND(Source!BC31,O47)</f>
        <v>0</v>
      </c>
      <c r="G47" s="5" t="s">
        <v>55</v>
      </c>
      <c r="H47" s="5" t="s">
        <v>56</v>
      </c>
      <c r="I47" s="5"/>
      <c r="J47" s="5"/>
      <c r="K47" s="5">
        <v>232</v>
      </c>
      <c r="L47" s="5">
        <v>15</v>
      </c>
      <c r="M47" s="5">
        <v>3</v>
      </c>
      <c r="N47" s="5" t="s">
        <v>4</v>
      </c>
      <c r="O47" s="5">
        <v>2</v>
      </c>
      <c r="P47" s="5">
        <f>ROUND(Source!EU31,O47)</f>
        <v>0</v>
      </c>
      <c r="Q47" s="5"/>
      <c r="R47" s="5"/>
      <c r="S47" s="5"/>
      <c r="T47" s="5"/>
      <c r="U47" s="5"/>
      <c r="V47" s="5"/>
      <c r="W47" s="5">
        <v>0</v>
      </c>
      <c r="X47" s="5">
        <v>1</v>
      </c>
      <c r="Y47" s="5">
        <v>0</v>
      </c>
      <c r="Z47" s="5">
        <v>0</v>
      </c>
      <c r="AA47" s="5">
        <v>1</v>
      </c>
      <c r="AB47" s="5">
        <v>0</v>
      </c>
    </row>
    <row r="48" spans="1:28">
      <c r="A48" s="5">
        <v>50</v>
      </c>
      <c r="B48" s="5">
        <v>0</v>
      </c>
      <c r="C48" s="5">
        <v>0</v>
      </c>
      <c r="D48" s="5">
        <v>1</v>
      </c>
      <c r="E48" s="5">
        <v>214</v>
      </c>
      <c r="F48" s="5">
        <f>ROUND(Source!AS31,O48)</f>
        <v>0</v>
      </c>
      <c r="G48" s="5" t="s">
        <v>57</v>
      </c>
      <c r="H48" s="5" t="s">
        <v>58</v>
      </c>
      <c r="I48" s="5"/>
      <c r="J48" s="5"/>
      <c r="K48" s="5">
        <v>214</v>
      </c>
      <c r="L48" s="5">
        <v>16</v>
      </c>
      <c r="M48" s="5">
        <v>3</v>
      </c>
      <c r="N48" s="5" t="s">
        <v>4</v>
      </c>
      <c r="O48" s="5">
        <v>2</v>
      </c>
      <c r="P48" s="5">
        <f>ROUND(Source!EK31,O48)</f>
        <v>0</v>
      </c>
      <c r="Q48" s="5"/>
      <c r="R48" s="5"/>
      <c r="S48" s="5"/>
      <c r="T48" s="5"/>
      <c r="U48" s="5"/>
      <c r="V48" s="5"/>
      <c r="W48" s="5">
        <v>0</v>
      </c>
      <c r="X48" s="5">
        <v>1</v>
      </c>
      <c r="Y48" s="5">
        <v>0</v>
      </c>
      <c r="Z48" s="5">
        <v>0</v>
      </c>
      <c r="AA48" s="5">
        <v>1</v>
      </c>
      <c r="AB48" s="5">
        <v>0</v>
      </c>
    </row>
    <row r="49" spans="1:206">
      <c r="A49" s="5">
        <v>50</v>
      </c>
      <c r="B49" s="5">
        <v>0</v>
      </c>
      <c r="C49" s="5">
        <v>0</v>
      </c>
      <c r="D49" s="5">
        <v>1</v>
      </c>
      <c r="E49" s="5">
        <v>215</v>
      </c>
      <c r="F49" s="5">
        <f>ROUND(Source!AT31,O49)</f>
        <v>4560.1499999999996</v>
      </c>
      <c r="G49" s="5" t="s">
        <v>59</v>
      </c>
      <c r="H49" s="5" t="s">
        <v>60</v>
      </c>
      <c r="I49" s="5"/>
      <c r="J49" s="5"/>
      <c r="K49" s="5">
        <v>215</v>
      </c>
      <c r="L49" s="5">
        <v>17</v>
      </c>
      <c r="M49" s="5">
        <v>3</v>
      </c>
      <c r="N49" s="5" t="s">
        <v>4</v>
      </c>
      <c r="O49" s="5">
        <v>2</v>
      </c>
      <c r="P49" s="5">
        <f>ROUND(Source!EL31,O49)</f>
        <v>148541.57</v>
      </c>
      <c r="Q49" s="5"/>
      <c r="R49" s="5"/>
      <c r="S49" s="5"/>
      <c r="T49" s="5"/>
      <c r="U49" s="5"/>
      <c r="V49" s="5"/>
      <c r="W49" s="5">
        <v>4560.1499999999996</v>
      </c>
      <c r="X49" s="5">
        <v>1</v>
      </c>
      <c r="Y49" s="5">
        <v>4560.1499999999996</v>
      </c>
      <c r="Z49" s="5">
        <v>148541.57</v>
      </c>
      <c r="AA49" s="5">
        <v>1</v>
      </c>
      <c r="AB49" s="5">
        <v>148541.57</v>
      </c>
    </row>
    <row r="50" spans="1:206">
      <c r="A50" s="5">
        <v>50</v>
      </c>
      <c r="B50" s="5">
        <v>0</v>
      </c>
      <c r="C50" s="5">
        <v>0</v>
      </c>
      <c r="D50" s="5">
        <v>1</v>
      </c>
      <c r="E50" s="5">
        <v>217</v>
      </c>
      <c r="F50" s="5">
        <f>ROUND(Source!AU31,O50)</f>
        <v>0</v>
      </c>
      <c r="G50" s="5" t="s">
        <v>61</v>
      </c>
      <c r="H50" s="5" t="s">
        <v>62</v>
      </c>
      <c r="I50" s="5"/>
      <c r="J50" s="5"/>
      <c r="K50" s="5">
        <v>217</v>
      </c>
      <c r="L50" s="5">
        <v>18</v>
      </c>
      <c r="M50" s="5">
        <v>3</v>
      </c>
      <c r="N50" s="5" t="s">
        <v>4</v>
      </c>
      <c r="O50" s="5">
        <v>2</v>
      </c>
      <c r="P50" s="5">
        <f>ROUND(Source!EM31,O50)</f>
        <v>0</v>
      </c>
      <c r="Q50" s="5"/>
      <c r="R50" s="5"/>
      <c r="S50" s="5"/>
      <c r="T50" s="5"/>
      <c r="U50" s="5"/>
      <c r="V50" s="5"/>
      <c r="W50" s="5">
        <v>0</v>
      </c>
      <c r="X50" s="5">
        <v>1</v>
      </c>
      <c r="Y50" s="5">
        <v>0</v>
      </c>
      <c r="Z50" s="5">
        <v>0</v>
      </c>
      <c r="AA50" s="5">
        <v>1</v>
      </c>
      <c r="AB50" s="5">
        <v>0</v>
      </c>
    </row>
    <row r="51" spans="1:206">
      <c r="A51" s="5">
        <v>50</v>
      </c>
      <c r="B51" s="5">
        <v>0</v>
      </c>
      <c r="C51" s="5">
        <v>0</v>
      </c>
      <c r="D51" s="5">
        <v>1</v>
      </c>
      <c r="E51" s="5">
        <v>230</v>
      </c>
      <c r="F51" s="5">
        <f>ROUND(Source!BA31,O51)</f>
        <v>0</v>
      </c>
      <c r="G51" s="5" t="s">
        <v>63</v>
      </c>
      <c r="H51" s="5" t="s">
        <v>64</v>
      </c>
      <c r="I51" s="5"/>
      <c r="J51" s="5"/>
      <c r="K51" s="5">
        <v>230</v>
      </c>
      <c r="L51" s="5">
        <v>19</v>
      </c>
      <c r="M51" s="5">
        <v>3</v>
      </c>
      <c r="N51" s="5" t="s">
        <v>4</v>
      </c>
      <c r="O51" s="5">
        <v>2</v>
      </c>
      <c r="P51" s="5">
        <f>ROUND(Source!ES31,O51)</f>
        <v>0</v>
      </c>
      <c r="Q51" s="5"/>
      <c r="R51" s="5"/>
      <c r="S51" s="5"/>
      <c r="T51" s="5"/>
      <c r="U51" s="5"/>
      <c r="V51" s="5"/>
      <c r="W51" s="5">
        <v>0</v>
      </c>
      <c r="X51" s="5">
        <v>1</v>
      </c>
      <c r="Y51" s="5">
        <v>0</v>
      </c>
      <c r="Z51" s="5">
        <v>0</v>
      </c>
      <c r="AA51" s="5">
        <v>1</v>
      </c>
      <c r="AB51" s="5">
        <v>0</v>
      </c>
    </row>
    <row r="52" spans="1:206">
      <c r="A52" s="5">
        <v>50</v>
      </c>
      <c r="B52" s="5">
        <v>0</v>
      </c>
      <c r="C52" s="5">
        <v>0</v>
      </c>
      <c r="D52" s="5">
        <v>1</v>
      </c>
      <c r="E52" s="5">
        <v>206</v>
      </c>
      <c r="F52" s="5">
        <f>ROUND(Source!T31,O52)</f>
        <v>0</v>
      </c>
      <c r="G52" s="5" t="s">
        <v>65</v>
      </c>
      <c r="H52" s="5" t="s">
        <v>66</v>
      </c>
      <c r="I52" s="5"/>
      <c r="J52" s="5"/>
      <c r="K52" s="5">
        <v>206</v>
      </c>
      <c r="L52" s="5">
        <v>20</v>
      </c>
      <c r="M52" s="5">
        <v>3</v>
      </c>
      <c r="N52" s="5" t="s">
        <v>4</v>
      </c>
      <c r="O52" s="5">
        <v>2</v>
      </c>
      <c r="P52" s="5">
        <f>ROUND(Source!DL31,O52)</f>
        <v>0</v>
      </c>
      <c r="Q52" s="5"/>
      <c r="R52" s="5"/>
      <c r="S52" s="5"/>
      <c r="T52" s="5"/>
      <c r="U52" s="5"/>
      <c r="V52" s="5"/>
      <c r="W52" s="5">
        <v>0</v>
      </c>
      <c r="X52" s="5">
        <v>1</v>
      </c>
      <c r="Y52" s="5">
        <v>0</v>
      </c>
      <c r="Z52" s="5">
        <v>0</v>
      </c>
      <c r="AA52" s="5">
        <v>1</v>
      </c>
      <c r="AB52" s="5">
        <v>0</v>
      </c>
    </row>
    <row r="53" spans="1:206">
      <c r="A53" s="5">
        <v>50</v>
      </c>
      <c r="B53" s="5">
        <v>0</v>
      </c>
      <c r="C53" s="5">
        <v>0</v>
      </c>
      <c r="D53" s="5">
        <v>1</v>
      </c>
      <c r="E53" s="5">
        <v>207</v>
      </c>
      <c r="F53" s="5">
        <f>Source!U31</f>
        <v>60.307199999999995</v>
      </c>
      <c r="G53" s="5" t="s">
        <v>67</v>
      </c>
      <c r="H53" s="5" t="s">
        <v>68</v>
      </c>
      <c r="I53" s="5"/>
      <c r="J53" s="5"/>
      <c r="K53" s="5">
        <v>207</v>
      </c>
      <c r="L53" s="5">
        <v>21</v>
      </c>
      <c r="M53" s="5">
        <v>3</v>
      </c>
      <c r="N53" s="5" t="s">
        <v>4</v>
      </c>
      <c r="O53" s="5">
        <v>-1</v>
      </c>
      <c r="P53" s="5">
        <f>Source!DM31</f>
        <v>60.307199999999995</v>
      </c>
      <c r="Q53" s="5"/>
      <c r="R53" s="5"/>
      <c r="S53" s="5"/>
      <c r="T53" s="5"/>
      <c r="U53" s="5"/>
      <c r="V53" s="5"/>
      <c r="W53" s="5">
        <v>60.307200000000002</v>
      </c>
      <c r="X53" s="5">
        <v>1</v>
      </c>
      <c r="Y53" s="5">
        <v>60.307200000000002</v>
      </c>
      <c r="Z53" s="5">
        <v>60.307200000000002</v>
      </c>
      <c r="AA53" s="5">
        <v>1</v>
      </c>
      <c r="AB53" s="5">
        <v>60.307200000000002</v>
      </c>
    </row>
    <row r="54" spans="1:206">
      <c r="A54" s="5">
        <v>50</v>
      </c>
      <c r="B54" s="5">
        <v>0</v>
      </c>
      <c r="C54" s="5">
        <v>0</v>
      </c>
      <c r="D54" s="5">
        <v>1</v>
      </c>
      <c r="E54" s="5">
        <v>208</v>
      </c>
      <c r="F54" s="5">
        <f>Source!V31</f>
        <v>0</v>
      </c>
      <c r="G54" s="5" t="s">
        <v>69</v>
      </c>
      <c r="H54" s="5" t="s">
        <v>70</v>
      </c>
      <c r="I54" s="5"/>
      <c r="J54" s="5"/>
      <c r="K54" s="5">
        <v>208</v>
      </c>
      <c r="L54" s="5">
        <v>22</v>
      </c>
      <c r="M54" s="5">
        <v>3</v>
      </c>
      <c r="N54" s="5" t="s">
        <v>4</v>
      </c>
      <c r="O54" s="5">
        <v>-1</v>
      </c>
      <c r="P54" s="5">
        <f>Source!DN31</f>
        <v>0</v>
      </c>
      <c r="Q54" s="5"/>
      <c r="R54" s="5"/>
      <c r="S54" s="5"/>
      <c r="T54" s="5"/>
      <c r="U54" s="5"/>
      <c r="V54" s="5"/>
      <c r="W54" s="5">
        <v>0</v>
      </c>
      <c r="X54" s="5">
        <v>1</v>
      </c>
      <c r="Y54" s="5">
        <v>0</v>
      </c>
      <c r="Z54" s="5">
        <v>0</v>
      </c>
      <c r="AA54" s="5">
        <v>1</v>
      </c>
      <c r="AB54" s="5">
        <v>0</v>
      </c>
    </row>
    <row r="55" spans="1:206">
      <c r="A55" s="5">
        <v>50</v>
      </c>
      <c r="B55" s="5">
        <v>0</v>
      </c>
      <c r="C55" s="5">
        <v>0</v>
      </c>
      <c r="D55" s="5">
        <v>1</v>
      </c>
      <c r="E55" s="5">
        <v>209</v>
      </c>
      <c r="F55" s="5">
        <f>ROUND(Source!W31,O55)</f>
        <v>0</v>
      </c>
      <c r="G55" s="5" t="s">
        <v>71</v>
      </c>
      <c r="H55" s="5" t="s">
        <v>72</v>
      </c>
      <c r="I55" s="5"/>
      <c r="J55" s="5"/>
      <c r="K55" s="5">
        <v>209</v>
      </c>
      <c r="L55" s="5">
        <v>23</v>
      </c>
      <c r="M55" s="5">
        <v>3</v>
      </c>
      <c r="N55" s="5" t="s">
        <v>4</v>
      </c>
      <c r="O55" s="5">
        <v>2</v>
      </c>
      <c r="P55" s="5">
        <f>ROUND(Source!DO31,O55)</f>
        <v>0</v>
      </c>
      <c r="Q55" s="5"/>
      <c r="R55" s="5"/>
      <c r="S55" s="5"/>
      <c r="T55" s="5"/>
      <c r="U55" s="5"/>
      <c r="V55" s="5"/>
      <c r="W55" s="5">
        <v>0</v>
      </c>
      <c r="X55" s="5">
        <v>1</v>
      </c>
      <c r="Y55" s="5">
        <v>0</v>
      </c>
      <c r="Z55" s="5">
        <v>0</v>
      </c>
      <c r="AA55" s="5">
        <v>1</v>
      </c>
      <c r="AB55" s="5">
        <v>0</v>
      </c>
    </row>
    <row r="56" spans="1:206">
      <c r="A56" s="5">
        <v>50</v>
      </c>
      <c r="B56" s="5">
        <v>0</v>
      </c>
      <c r="C56" s="5">
        <v>0</v>
      </c>
      <c r="D56" s="5">
        <v>1</v>
      </c>
      <c r="E56" s="5">
        <v>233</v>
      </c>
      <c r="F56" s="5">
        <f>ROUND(Source!BD31,O56)</f>
        <v>0</v>
      </c>
      <c r="G56" s="5" t="s">
        <v>73</v>
      </c>
      <c r="H56" s="5" t="s">
        <v>74</v>
      </c>
      <c r="I56" s="5"/>
      <c r="J56" s="5"/>
      <c r="K56" s="5">
        <v>233</v>
      </c>
      <c r="L56" s="5">
        <v>24</v>
      </c>
      <c r="M56" s="5">
        <v>3</v>
      </c>
      <c r="N56" s="5" t="s">
        <v>4</v>
      </c>
      <c r="O56" s="5">
        <v>2</v>
      </c>
      <c r="P56" s="5">
        <f>ROUND(Source!EV31,O56)</f>
        <v>0</v>
      </c>
      <c r="Q56" s="5"/>
      <c r="R56" s="5"/>
      <c r="S56" s="5"/>
      <c r="T56" s="5"/>
      <c r="U56" s="5"/>
      <c r="V56" s="5"/>
      <c r="W56" s="5">
        <v>0</v>
      </c>
      <c r="X56" s="5">
        <v>1</v>
      </c>
      <c r="Y56" s="5">
        <v>0</v>
      </c>
      <c r="Z56" s="5">
        <v>0</v>
      </c>
      <c r="AA56" s="5">
        <v>1</v>
      </c>
      <c r="AB56" s="5">
        <v>0</v>
      </c>
    </row>
    <row r="57" spans="1:206">
      <c r="A57" s="5">
        <v>50</v>
      </c>
      <c r="B57" s="5">
        <v>0</v>
      </c>
      <c r="C57" s="5">
        <v>0</v>
      </c>
      <c r="D57" s="5">
        <v>1</v>
      </c>
      <c r="E57" s="5">
        <v>210</v>
      </c>
      <c r="F57" s="5">
        <f>ROUND(Source!X31,O57)</f>
        <v>852.42</v>
      </c>
      <c r="G57" s="5" t="s">
        <v>75</v>
      </c>
      <c r="H57" s="5" t="s">
        <v>76</v>
      </c>
      <c r="I57" s="5"/>
      <c r="J57" s="5"/>
      <c r="K57" s="5">
        <v>210</v>
      </c>
      <c r="L57" s="5">
        <v>25</v>
      </c>
      <c r="M57" s="5">
        <v>3</v>
      </c>
      <c r="N57" s="5" t="s">
        <v>4</v>
      </c>
      <c r="O57" s="5">
        <v>2</v>
      </c>
      <c r="P57" s="5">
        <f>ROUND(Source!DP31,O57)</f>
        <v>32678.46</v>
      </c>
      <c r="Q57" s="5"/>
      <c r="R57" s="5"/>
      <c r="S57" s="5"/>
      <c r="T57" s="5"/>
      <c r="U57" s="5"/>
      <c r="V57" s="5"/>
      <c r="W57" s="5">
        <v>852.42</v>
      </c>
      <c r="X57" s="5">
        <v>1</v>
      </c>
      <c r="Y57" s="5">
        <v>852.42</v>
      </c>
      <c r="Z57" s="5">
        <v>32678.46</v>
      </c>
      <c r="AA57" s="5">
        <v>1</v>
      </c>
      <c r="AB57" s="5">
        <v>32678.46</v>
      </c>
    </row>
    <row r="58" spans="1:206">
      <c r="A58" s="5">
        <v>50</v>
      </c>
      <c r="B58" s="5">
        <v>0</v>
      </c>
      <c r="C58" s="5">
        <v>0</v>
      </c>
      <c r="D58" s="5">
        <v>1</v>
      </c>
      <c r="E58" s="5">
        <v>211</v>
      </c>
      <c r="F58" s="5">
        <f>ROUND(Source!Y31,O58)</f>
        <v>532.76</v>
      </c>
      <c r="G58" s="5" t="s">
        <v>77</v>
      </c>
      <c r="H58" s="5" t="s">
        <v>78</v>
      </c>
      <c r="I58" s="5"/>
      <c r="J58" s="5"/>
      <c r="K58" s="5">
        <v>211</v>
      </c>
      <c r="L58" s="5">
        <v>26</v>
      </c>
      <c r="M58" s="5">
        <v>3</v>
      </c>
      <c r="N58" s="5" t="s">
        <v>4</v>
      </c>
      <c r="O58" s="5">
        <v>2</v>
      </c>
      <c r="P58" s="5">
        <f>ROUND(Source!DQ31,O58)</f>
        <v>15273.63</v>
      </c>
      <c r="Q58" s="5"/>
      <c r="R58" s="5"/>
      <c r="S58" s="5"/>
      <c r="T58" s="5"/>
      <c r="U58" s="5"/>
      <c r="V58" s="5"/>
      <c r="W58" s="5">
        <v>532.76</v>
      </c>
      <c r="X58" s="5">
        <v>1</v>
      </c>
      <c r="Y58" s="5">
        <v>532.76</v>
      </c>
      <c r="Z58" s="5">
        <v>15273.63</v>
      </c>
      <c r="AA58" s="5">
        <v>1</v>
      </c>
      <c r="AB58" s="5">
        <v>15273.63</v>
      </c>
    </row>
    <row r="59" spans="1:206">
      <c r="A59" s="5">
        <v>50</v>
      </c>
      <c r="B59" s="5">
        <v>0</v>
      </c>
      <c r="C59" s="5">
        <v>0</v>
      </c>
      <c r="D59" s="5">
        <v>1</v>
      </c>
      <c r="E59" s="5">
        <v>224</v>
      </c>
      <c r="F59" s="5">
        <f>ROUND(Source!AR31,O59)</f>
        <v>4560.1499999999996</v>
      </c>
      <c r="G59" s="5" t="s">
        <v>79</v>
      </c>
      <c r="H59" s="5" t="s">
        <v>80</v>
      </c>
      <c r="I59" s="5"/>
      <c r="J59" s="5"/>
      <c r="K59" s="5">
        <v>224</v>
      </c>
      <c r="L59" s="5">
        <v>27</v>
      </c>
      <c r="M59" s="5">
        <v>3</v>
      </c>
      <c r="N59" s="5" t="s">
        <v>4</v>
      </c>
      <c r="O59" s="5">
        <v>2</v>
      </c>
      <c r="P59" s="5">
        <f>ROUND(Source!EJ31,O59)</f>
        <v>148541.57</v>
      </c>
      <c r="Q59" s="5"/>
      <c r="R59" s="5"/>
      <c r="S59" s="5"/>
      <c r="T59" s="5"/>
      <c r="U59" s="5"/>
      <c r="V59" s="5"/>
      <c r="W59" s="5">
        <v>4560.1499999999996</v>
      </c>
      <c r="X59" s="5">
        <v>1</v>
      </c>
      <c r="Y59" s="5">
        <v>4560.1499999999996</v>
      </c>
      <c r="Z59" s="5">
        <v>148541.57</v>
      </c>
      <c r="AA59" s="5">
        <v>1</v>
      </c>
      <c r="AB59" s="5">
        <v>148541.57</v>
      </c>
    </row>
    <row r="61" spans="1:206">
      <c r="A61" s="1">
        <v>4</v>
      </c>
      <c r="B61" s="1">
        <v>1</v>
      </c>
      <c r="C61" s="1"/>
      <c r="D61" s="1">
        <f>ROW(A68)</f>
        <v>68</v>
      </c>
      <c r="E61" s="1"/>
      <c r="F61" s="1" t="s">
        <v>17</v>
      </c>
      <c r="G61" s="1" t="s">
        <v>81</v>
      </c>
      <c r="H61" s="1" t="s">
        <v>4</v>
      </c>
      <c r="I61" s="1">
        <v>0</v>
      </c>
      <c r="J61" s="1"/>
      <c r="K61" s="1">
        <v>0</v>
      </c>
      <c r="L61" s="1"/>
      <c r="M61" s="1" t="s">
        <v>4</v>
      </c>
      <c r="N61" s="1"/>
      <c r="O61" s="1"/>
      <c r="P61" s="1"/>
      <c r="Q61" s="1"/>
      <c r="R61" s="1"/>
      <c r="S61" s="1">
        <v>0</v>
      </c>
      <c r="T61" s="1">
        <v>0</v>
      </c>
      <c r="U61" s="1" t="s">
        <v>4</v>
      </c>
      <c r="V61" s="1">
        <v>0</v>
      </c>
      <c r="W61" s="1"/>
      <c r="X61" s="1"/>
      <c r="Y61" s="1"/>
      <c r="Z61" s="1"/>
      <c r="AA61" s="1"/>
      <c r="AB61" s="1" t="s">
        <v>4</v>
      </c>
      <c r="AC61" s="1" t="s">
        <v>4</v>
      </c>
      <c r="AD61" s="1" t="s">
        <v>4</v>
      </c>
      <c r="AE61" s="1" t="s">
        <v>4</v>
      </c>
      <c r="AF61" s="1" t="s">
        <v>4</v>
      </c>
      <c r="AG61" s="1" t="s">
        <v>4</v>
      </c>
      <c r="AH61" s="1"/>
      <c r="AI61" s="1"/>
      <c r="AJ61" s="1"/>
      <c r="AK61" s="1"/>
      <c r="AL61" s="1"/>
      <c r="AM61" s="1"/>
      <c r="AN61" s="1"/>
      <c r="AO61" s="1"/>
      <c r="AP61" s="1" t="s">
        <v>4</v>
      </c>
      <c r="AQ61" s="1" t="s">
        <v>4</v>
      </c>
      <c r="AR61" s="1" t="s">
        <v>4</v>
      </c>
      <c r="AS61" s="1"/>
      <c r="AT61" s="1"/>
      <c r="AU61" s="1"/>
      <c r="AV61" s="1"/>
      <c r="AW61" s="1"/>
      <c r="AX61" s="1"/>
      <c r="AY61" s="1"/>
      <c r="AZ61" s="1" t="s">
        <v>4</v>
      </c>
      <c r="BA61" s="1"/>
      <c r="BB61" s="1" t="s">
        <v>4</v>
      </c>
      <c r="BC61" s="1" t="s">
        <v>4</v>
      </c>
      <c r="BD61" s="1" t="s">
        <v>4</v>
      </c>
      <c r="BE61" s="1" t="s">
        <v>4</v>
      </c>
      <c r="BF61" s="1" t="s">
        <v>4</v>
      </c>
      <c r="BG61" s="1" t="s">
        <v>4</v>
      </c>
      <c r="BH61" s="1" t="s">
        <v>4</v>
      </c>
      <c r="BI61" s="1" t="s">
        <v>4</v>
      </c>
      <c r="BJ61" s="1" t="s">
        <v>4</v>
      </c>
      <c r="BK61" s="1" t="s">
        <v>4</v>
      </c>
      <c r="BL61" s="1" t="s">
        <v>4</v>
      </c>
      <c r="BM61" s="1" t="s">
        <v>4</v>
      </c>
      <c r="BN61" s="1" t="s">
        <v>4</v>
      </c>
      <c r="BO61" s="1" t="s">
        <v>4</v>
      </c>
      <c r="BP61" s="1" t="s">
        <v>4</v>
      </c>
      <c r="BQ61" s="1"/>
      <c r="BR61" s="1"/>
      <c r="BS61" s="1"/>
      <c r="BT61" s="1"/>
      <c r="BU61" s="1"/>
      <c r="BV61" s="1"/>
      <c r="BW61" s="1"/>
      <c r="BX61" s="1">
        <v>0</v>
      </c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>
        <v>0</v>
      </c>
    </row>
    <row r="63" spans="1:206">
      <c r="A63" s="3">
        <v>52</v>
      </c>
      <c r="B63" s="3">
        <f t="shared" ref="B63:G63" si="25">B68</f>
        <v>1</v>
      </c>
      <c r="C63" s="3">
        <f t="shared" si="25"/>
        <v>4</v>
      </c>
      <c r="D63" s="3">
        <f t="shared" si="25"/>
        <v>61</v>
      </c>
      <c r="E63" s="3">
        <f t="shared" si="25"/>
        <v>0</v>
      </c>
      <c r="F63" s="3" t="str">
        <f t="shared" si="25"/>
        <v>Новый раздел</v>
      </c>
      <c r="G63" s="3" t="str">
        <f t="shared" si="25"/>
        <v>Оборудование</v>
      </c>
      <c r="H63" s="3"/>
      <c r="I63" s="3"/>
      <c r="J63" s="3"/>
      <c r="K63" s="3"/>
      <c r="L63" s="3"/>
      <c r="M63" s="3"/>
      <c r="N63" s="3"/>
      <c r="O63" s="3">
        <f t="shared" ref="O63:AT63" si="26">O68</f>
        <v>1104022.1200000001</v>
      </c>
      <c r="P63" s="3">
        <f t="shared" si="26"/>
        <v>1104022.1200000001</v>
      </c>
      <c r="Q63" s="3">
        <f t="shared" si="26"/>
        <v>0</v>
      </c>
      <c r="R63" s="3">
        <f t="shared" si="26"/>
        <v>0</v>
      </c>
      <c r="S63" s="3">
        <f t="shared" si="26"/>
        <v>0</v>
      </c>
      <c r="T63" s="3">
        <f t="shared" si="26"/>
        <v>0</v>
      </c>
      <c r="U63" s="3">
        <f t="shared" si="26"/>
        <v>0</v>
      </c>
      <c r="V63" s="3">
        <f t="shared" si="26"/>
        <v>0</v>
      </c>
      <c r="W63" s="3">
        <f t="shared" si="26"/>
        <v>0</v>
      </c>
      <c r="X63" s="3">
        <f t="shared" si="26"/>
        <v>0</v>
      </c>
      <c r="Y63" s="3">
        <f t="shared" si="26"/>
        <v>0</v>
      </c>
      <c r="Z63" s="3">
        <f t="shared" si="26"/>
        <v>0</v>
      </c>
      <c r="AA63" s="3">
        <f t="shared" si="26"/>
        <v>0</v>
      </c>
      <c r="AB63" s="3">
        <f t="shared" si="26"/>
        <v>1104022.1200000001</v>
      </c>
      <c r="AC63" s="3">
        <f t="shared" si="26"/>
        <v>1104022.1200000001</v>
      </c>
      <c r="AD63" s="3">
        <f t="shared" si="26"/>
        <v>0</v>
      </c>
      <c r="AE63" s="3">
        <f t="shared" si="26"/>
        <v>0</v>
      </c>
      <c r="AF63" s="3">
        <f t="shared" si="26"/>
        <v>0</v>
      </c>
      <c r="AG63" s="3">
        <f t="shared" si="26"/>
        <v>0</v>
      </c>
      <c r="AH63" s="3">
        <f t="shared" si="26"/>
        <v>0</v>
      </c>
      <c r="AI63" s="3">
        <f t="shared" si="26"/>
        <v>0</v>
      </c>
      <c r="AJ63" s="3">
        <f t="shared" si="26"/>
        <v>0</v>
      </c>
      <c r="AK63" s="3">
        <f t="shared" si="26"/>
        <v>0</v>
      </c>
      <c r="AL63" s="3">
        <f t="shared" si="26"/>
        <v>0</v>
      </c>
      <c r="AM63" s="3">
        <f t="shared" si="26"/>
        <v>0</v>
      </c>
      <c r="AN63" s="3">
        <f t="shared" si="26"/>
        <v>0</v>
      </c>
      <c r="AO63" s="3">
        <f t="shared" si="26"/>
        <v>0</v>
      </c>
      <c r="AP63" s="3">
        <f t="shared" si="26"/>
        <v>1104022.1200000001</v>
      </c>
      <c r="AQ63" s="3">
        <f t="shared" si="26"/>
        <v>0</v>
      </c>
      <c r="AR63" s="3">
        <f t="shared" si="26"/>
        <v>1104022.1200000001</v>
      </c>
      <c r="AS63" s="3">
        <f t="shared" si="26"/>
        <v>0</v>
      </c>
      <c r="AT63" s="3">
        <f t="shared" si="26"/>
        <v>0</v>
      </c>
      <c r="AU63" s="3">
        <f t="shared" ref="AU63:BZ63" si="27">AU68</f>
        <v>0</v>
      </c>
      <c r="AV63" s="3">
        <f t="shared" si="27"/>
        <v>1104022.1200000001</v>
      </c>
      <c r="AW63" s="3">
        <f t="shared" si="27"/>
        <v>0</v>
      </c>
      <c r="AX63" s="3">
        <f t="shared" si="27"/>
        <v>0</v>
      </c>
      <c r="AY63" s="3">
        <f t="shared" si="27"/>
        <v>0</v>
      </c>
      <c r="AZ63" s="3">
        <f t="shared" si="27"/>
        <v>1104022.1200000001</v>
      </c>
      <c r="BA63" s="3">
        <f t="shared" si="27"/>
        <v>0</v>
      </c>
      <c r="BB63" s="3">
        <f t="shared" si="27"/>
        <v>0</v>
      </c>
      <c r="BC63" s="3">
        <f t="shared" si="27"/>
        <v>0</v>
      </c>
      <c r="BD63" s="3">
        <f t="shared" si="27"/>
        <v>0</v>
      </c>
      <c r="BE63" s="3">
        <f t="shared" si="27"/>
        <v>0</v>
      </c>
      <c r="BF63" s="3">
        <f t="shared" si="27"/>
        <v>0</v>
      </c>
      <c r="BG63" s="3">
        <f t="shared" si="27"/>
        <v>0</v>
      </c>
      <c r="BH63" s="3">
        <f t="shared" si="27"/>
        <v>0</v>
      </c>
      <c r="BI63" s="3">
        <f t="shared" si="27"/>
        <v>0</v>
      </c>
      <c r="BJ63" s="3">
        <f t="shared" si="27"/>
        <v>0</v>
      </c>
      <c r="BK63" s="3">
        <f t="shared" si="27"/>
        <v>0</v>
      </c>
      <c r="BL63" s="3">
        <f t="shared" si="27"/>
        <v>0</v>
      </c>
      <c r="BM63" s="3">
        <f t="shared" si="27"/>
        <v>0</v>
      </c>
      <c r="BN63" s="3">
        <f t="shared" si="27"/>
        <v>0</v>
      </c>
      <c r="BO63" s="3">
        <f t="shared" si="27"/>
        <v>0</v>
      </c>
      <c r="BP63" s="3">
        <f t="shared" si="27"/>
        <v>0</v>
      </c>
      <c r="BQ63" s="3">
        <f t="shared" si="27"/>
        <v>0</v>
      </c>
      <c r="BR63" s="3">
        <f t="shared" si="27"/>
        <v>0</v>
      </c>
      <c r="BS63" s="3">
        <f t="shared" si="27"/>
        <v>0</v>
      </c>
      <c r="BT63" s="3">
        <f t="shared" si="27"/>
        <v>0</v>
      </c>
      <c r="BU63" s="3">
        <f t="shared" si="27"/>
        <v>0</v>
      </c>
      <c r="BV63" s="3">
        <f t="shared" si="27"/>
        <v>0</v>
      </c>
      <c r="BW63" s="3">
        <f t="shared" si="27"/>
        <v>0</v>
      </c>
      <c r="BX63" s="3">
        <f t="shared" si="27"/>
        <v>0</v>
      </c>
      <c r="BY63" s="3">
        <f t="shared" si="27"/>
        <v>1104022.1200000001</v>
      </c>
      <c r="BZ63" s="3">
        <f t="shared" si="27"/>
        <v>0</v>
      </c>
      <c r="CA63" s="3">
        <f t="shared" ref="CA63:DF63" si="28">CA68</f>
        <v>1104022.1200000001</v>
      </c>
      <c r="CB63" s="3">
        <f t="shared" si="28"/>
        <v>0</v>
      </c>
      <c r="CC63" s="3">
        <f t="shared" si="28"/>
        <v>0</v>
      </c>
      <c r="CD63" s="3">
        <f t="shared" si="28"/>
        <v>0</v>
      </c>
      <c r="CE63" s="3">
        <f t="shared" si="28"/>
        <v>1104022.1200000001</v>
      </c>
      <c r="CF63" s="3">
        <f t="shared" si="28"/>
        <v>0</v>
      </c>
      <c r="CG63" s="3">
        <f t="shared" si="28"/>
        <v>0</v>
      </c>
      <c r="CH63" s="3">
        <f t="shared" si="28"/>
        <v>0</v>
      </c>
      <c r="CI63" s="3">
        <f t="shared" si="28"/>
        <v>1104022.1200000001</v>
      </c>
      <c r="CJ63" s="3">
        <f t="shared" si="28"/>
        <v>0</v>
      </c>
      <c r="CK63" s="3">
        <f t="shared" si="28"/>
        <v>0</v>
      </c>
      <c r="CL63" s="3">
        <f t="shared" si="28"/>
        <v>0</v>
      </c>
      <c r="CM63" s="3">
        <f t="shared" si="28"/>
        <v>0</v>
      </c>
      <c r="CN63" s="3">
        <f t="shared" si="28"/>
        <v>0</v>
      </c>
      <c r="CO63" s="3">
        <f t="shared" si="28"/>
        <v>0</v>
      </c>
      <c r="CP63" s="3">
        <f t="shared" si="28"/>
        <v>0</v>
      </c>
      <c r="CQ63" s="3">
        <f t="shared" si="28"/>
        <v>0</v>
      </c>
      <c r="CR63" s="3">
        <f t="shared" si="28"/>
        <v>0</v>
      </c>
      <c r="CS63" s="3">
        <f t="shared" si="28"/>
        <v>0</v>
      </c>
      <c r="CT63" s="3">
        <f t="shared" si="28"/>
        <v>0</v>
      </c>
      <c r="CU63" s="3">
        <f t="shared" si="28"/>
        <v>0</v>
      </c>
      <c r="CV63" s="3">
        <f t="shared" si="28"/>
        <v>0</v>
      </c>
      <c r="CW63" s="3">
        <f t="shared" si="28"/>
        <v>0</v>
      </c>
      <c r="CX63" s="3">
        <f t="shared" si="28"/>
        <v>0</v>
      </c>
      <c r="CY63" s="3">
        <f t="shared" si="28"/>
        <v>0</v>
      </c>
      <c r="CZ63" s="3">
        <f t="shared" si="28"/>
        <v>0</v>
      </c>
      <c r="DA63" s="3">
        <f t="shared" si="28"/>
        <v>0</v>
      </c>
      <c r="DB63" s="3">
        <f t="shared" si="28"/>
        <v>0</v>
      </c>
      <c r="DC63" s="3">
        <f t="shared" si="28"/>
        <v>0</v>
      </c>
      <c r="DD63" s="3">
        <f t="shared" si="28"/>
        <v>0</v>
      </c>
      <c r="DE63" s="3">
        <f t="shared" si="28"/>
        <v>0</v>
      </c>
      <c r="DF63" s="3">
        <f t="shared" si="28"/>
        <v>0</v>
      </c>
      <c r="DG63" s="4">
        <f t="shared" ref="DG63:EL63" si="29">DG68</f>
        <v>8026240.8099999996</v>
      </c>
      <c r="DH63" s="4">
        <f t="shared" si="29"/>
        <v>8026240.8099999996</v>
      </c>
      <c r="DI63" s="4">
        <f t="shared" si="29"/>
        <v>0</v>
      </c>
      <c r="DJ63" s="4">
        <f t="shared" si="29"/>
        <v>0</v>
      </c>
      <c r="DK63" s="4">
        <f t="shared" si="29"/>
        <v>0</v>
      </c>
      <c r="DL63" s="4">
        <f t="shared" si="29"/>
        <v>0</v>
      </c>
      <c r="DM63" s="4">
        <f t="shared" si="29"/>
        <v>0</v>
      </c>
      <c r="DN63" s="4">
        <f t="shared" si="29"/>
        <v>0</v>
      </c>
      <c r="DO63" s="4">
        <f t="shared" si="29"/>
        <v>0</v>
      </c>
      <c r="DP63" s="4">
        <f t="shared" si="29"/>
        <v>0</v>
      </c>
      <c r="DQ63" s="4">
        <f t="shared" si="29"/>
        <v>0</v>
      </c>
      <c r="DR63" s="4">
        <f t="shared" si="29"/>
        <v>0</v>
      </c>
      <c r="DS63" s="4">
        <f t="shared" si="29"/>
        <v>0</v>
      </c>
      <c r="DT63" s="4">
        <f t="shared" si="29"/>
        <v>8026240.8099999996</v>
      </c>
      <c r="DU63" s="4">
        <f t="shared" si="29"/>
        <v>8026240.8099999996</v>
      </c>
      <c r="DV63" s="4">
        <f t="shared" si="29"/>
        <v>0</v>
      </c>
      <c r="DW63" s="4">
        <f t="shared" si="29"/>
        <v>0</v>
      </c>
      <c r="DX63" s="4">
        <f t="shared" si="29"/>
        <v>0</v>
      </c>
      <c r="DY63" s="4">
        <f t="shared" si="29"/>
        <v>0</v>
      </c>
      <c r="DZ63" s="4">
        <f t="shared" si="29"/>
        <v>0</v>
      </c>
      <c r="EA63" s="4">
        <f t="shared" si="29"/>
        <v>0</v>
      </c>
      <c r="EB63" s="4">
        <f t="shared" si="29"/>
        <v>0</v>
      </c>
      <c r="EC63" s="4">
        <f t="shared" si="29"/>
        <v>0</v>
      </c>
      <c r="ED63" s="4">
        <f t="shared" si="29"/>
        <v>0</v>
      </c>
      <c r="EE63" s="4">
        <f t="shared" si="29"/>
        <v>0</v>
      </c>
      <c r="EF63" s="4">
        <f t="shared" si="29"/>
        <v>0</v>
      </c>
      <c r="EG63" s="4">
        <f t="shared" si="29"/>
        <v>0</v>
      </c>
      <c r="EH63" s="4">
        <f t="shared" si="29"/>
        <v>8026240.8099999996</v>
      </c>
      <c r="EI63" s="4">
        <f t="shared" si="29"/>
        <v>0</v>
      </c>
      <c r="EJ63" s="4">
        <f t="shared" si="29"/>
        <v>8026240.8099999996</v>
      </c>
      <c r="EK63" s="4">
        <f t="shared" si="29"/>
        <v>0</v>
      </c>
      <c r="EL63" s="4">
        <f t="shared" si="29"/>
        <v>0</v>
      </c>
      <c r="EM63" s="4">
        <f t="shared" ref="EM63:FR63" si="30">EM68</f>
        <v>0</v>
      </c>
      <c r="EN63" s="4">
        <f t="shared" si="30"/>
        <v>8026240.8099999996</v>
      </c>
      <c r="EO63" s="4">
        <f t="shared" si="30"/>
        <v>0</v>
      </c>
      <c r="EP63" s="4">
        <f t="shared" si="30"/>
        <v>0</v>
      </c>
      <c r="EQ63" s="4">
        <f t="shared" si="30"/>
        <v>0</v>
      </c>
      <c r="ER63" s="4">
        <f t="shared" si="30"/>
        <v>8026240.8099999996</v>
      </c>
      <c r="ES63" s="4">
        <f t="shared" si="30"/>
        <v>0</v>
      </c>
      <c r="ET63" s="4">
        <f t="shared" si="30"/>
        <v>0</v>
      </c>
      <c r="EU63" s="4">
        <f t="shared" si="30"/>
        <v>0</v>
      </c>
      <c r="EV63" s="4">
        <f t="shared" si="30"/>
        <v>0</v>
      </c>
      <c r="EW63" s="4">
        <f t="shared" si="30"/>
        <v>0</v>
      </c>
      <c r="EX63" s="4">
        <f t="shared" si="30"/>
        <v>0</v>
      </c>
      <c r="EY63" s="4">
        <f t="shared" si="30"/>
        <v>0</v>
      </c>
      <c r="EZ63" s="4">
        <f t="shared" si="30"/>
        <v>0</v>
      </c>
      <c r="FA63" s="4">
        <f t="shared" si="30"/>
        <v>0</v>
      </c>
      <c r="FB63" s="4">
        <f t="shared" si="30"/>
        <v>0</v>
      </c>
      <c r="FC63" s="4">
        <f t="shared" si="30"/>
        <v>0</v>
      </c>
      <c r="FD63" s="4">
        <f t="shared" si="30"/>
        <v>0</v>
      </c>
      <c r="FE63" s="4">
        <f t="shared" si="30"/>
        <v>0</v>
      </c>
      <c r="FF63" s="4">
        <f t="shared" si="30"/>
        <v>0</v>
      </c>
      <c r="FG63" s="4">
        <f t="shared" si="30"/>
        <v>0</v>
      </c>
      <c r="FH63" s="4">
        <f t="shared" si="30"/>
        <v>0</v>
      </c>
      <c r="FI63" s="4">
        <f t="shared" si="30"/>
        <v>0</v>
      </c>
      <c r="FJ63" s="4">
        <f t="shared" si="30"/>
        <v>0</v>
      </c>
      <c r="FK63" s="4">
        <f t="shared" si="30"/>
        <v>0</v>
      </c>
      <c r="FL63" s="4">
        <f t="shared" si="30"/>
        <v>0</v>
      </c>
      <c r="FM63" s="4">
        <f t="shared" si="30"/>
        <v>0</v>
      </c>
      <c r="FN63" s="4">
        <f t="shared" si="30"/>
        <v>0</v>
      </c>
      <c r="FO63" s="4">
        <f t="shared" si="30"/>
        <v>0</v>
      </c>
      <c r="FP63" s="4">
        <f t="shared" si="30"/>
        <v>0</v>
      </c>
      <c r="FQ63" s="4">
        <f t="shared" si="30"/>
        <v>8026240.8099999996</v>
      </c>
      <c r="FR63" s="4">
        <f t="shared" si="30"/>
        <v>0</v>
      </c>
      <c r="FS63" s="4">
        <f t="shared" ref="FS63:GX63" si="31">FS68</f>
        <v>8026240.8099999996</v>
      </c>
      <c r="FT63" s="4">
        <f t="shared" si="31"/>
        <v>0</v>
      </c>
      <c r="FU63" s="4">
        <f t="shared" si="31"/>
        <v>0</v>
      </c>
      <c r="FV63" s="4">
        <f t="shared" si="31"/>
        <v>0</v>
      </c>
      <c r="FW63" s="4">
        <f t="shared" si="31"/>
        <v>8026240.8099999996</v>
      </c>
      <c r="FX63" s="4">
        <f t="shared" si="31"/>
        <v>0</v>
      </c>
      <c r="FY63" s="4">
        <f t="shared" si="31"/>
        <v>0</v>
      </c>
      <c r="FZ63" s="4">
        <f t="shared" si="31"/>
        <v>0</v>
      </c>
      <c r="GA63" s="4">
        <f t="shared" si="31"/>
        <v>8026240.8099999996</v>
      </c>
      <c r="GB63" s="4">
        <f t="shared" si="31"/>
        <v>0</v>
      </c>
      <c r="GC63" s="4">
        <f t="shared" si="31"/>
        <v>0</v>
      </c>
      <c r="GD63" s="4">
        <f t="shared" si="31"/>
        <v>0</v>
      </c>
      <c r="GE63" s="4">
        <f t="shared" si="31"/>
        <v>0</v>
      </c>
      <c r="GF63" s="4">
        <f t="shared" si="31"/>
        <v>0</v>
      </c>
      <c r="GG63" s="4">
        <f t="shared" si="31"/>
        <v>0</v>
      </c>
      <c r="GH63" s="4">
        <f t="shared" si="31"/>
        <v>0</v>
      </c>
      <c r="GI63" s="4">
        <f t="shared" si="31"/>
        <v>0</v>
      </c>
      <c r="GJ63" s="4">
        <f t="shared" si="31"/>
        <v>0</v>
      </c>
      <c r="GK63" s="4">
        <f t="shared" si="31"/>
        <v>0</v>
      </c>
      <c r="GL63" s="4">
        <f t="shared" si="31"/>
        <v>0</v>
      </c>
      <c r="GM63" s="4">
        <f t="shared" si="31"/>
        <v>0</v>
      </c>
      <c r="GN63" s="4">
        <f t="shared" si="31"/>
        <v>0</v>
      </c>
      <c r="GO63" s="4">
        <f t="shared" si="31"/>
        <v>0</v>
      </c>
      <c r="GP63" s="4">
        <f t="shared" si="31"/>
        <v>0</v>
      </c>
      <c r="GQ63" s="4">
        <f t="shared" si="31"/>
        <v>0</v>
      </c>
      <c r="GR63" s="4">
        <f t="shared" si="31"/>
        <v>0</v>
      </c>
      <c r="GS63" s="4">
        <f t="shared" si="31"/>
        <v>0</v>
      </c>
      <c r="GT63" s="4">
        <f t="shared" si="31"/>
        <v>0</v>
      </c>
      <c r="GU63" s="4">
        <f t="shared" si="31"/>
        <v>0</v>
      </c>
      <c r="GV63" s="4">
        <f t="shared" si="31"/>
        <v>0</v>
      </c>
      <c r="GW63" s="4">
        <f t="shared" si="31"/>
        <v>0</v>
      </c>
      <c r="GX63" s="4">
        <f t="shared" si="31"/>
        <v>0</v>
      </c>
    </row>
    <row r="65" spans="1:255">
      <c r="A65" s="2">
        <v>17</v>
      </c>
      <c r="B65" s="2">
        <v>1</v>
      </c>
      <c r="C65" s="2"/>
      <c r="D65" s="2"/>
      <c r="E65" s="2" t="s">
        <v>82</v>
      </c>
      <c r="F65" s="2" t="s">
        <v>83</v>
      </c>
      <c r="G65" s="2" t="s">
        <v>84</v>
      </c>
      <c r="H65" s="2" t="s">
        <v>85</v>
      </c>
      <c r="I65" s="2">
        <v>2</v>
      </c>
      <c r="J65" s="2">
        <v>0</v>
      </c>
      <c r="K65" s="2">
        <v>2</v>
      </c>
      <c r="L65" s="2"/>
      <c r="M65" s="2"/>
      <c r="N65" s="2"/>
      <c r="O65" s="2">
        <f>ROUND(CP65,2)</f>
        <v>1104022.1200000001</v>
      </c>
      <c r="P65" s="2">
        <f>ROUND((ROUND((AC65*AW65*I65),2)*BC65),2)</f>
        <v>1104022.1200000001</v>
      </c>
      <c r="Q65" s="2">
        <f>(ROUND((ROUND(((ET65)*AV65*I65),2)*BB65),2)+ROUND((ROUND(((AE65-(EU65))*AV65*I65),2)*BS65),2))</f>
        <v>0</v>
      </c>
      <c r="R65" s="2">
        <f>ROUND((ROUND((AE65*AV65*I65),2)*BS65),2)</f>
        <v>0</v>
      </c>
      <c r="S65" s="2">
        <f>ROUND((ROUND((AF65*AV65*I65),2)*BA65),2)</f>
        <v>0</v>
      </c>
      <c r="T65" s="2">
        <f>ROUND(CU65*I65,2)</f>
        <v>0</v>
      </c>
      <c r="U65" s="2">
        <f>CV65*I65</f>
        <v>0</v>
      </c>
      <c r="V65" s="2">
        <f>CW65*I65</f>
        <v>0</v>
      </c>
      <c r="W65" s="2">
        <f>ROUND(CX65*I65,2)</f>
        <v>0</v>
      </c>
      <c r="X65" s="2">
        <f>ROUND(CY65,2)</f>
        <v>0</v>
      </c>
      <c r="Y65" s="2">
        <f>ROUND(CZ65,2)</f>
        <v>0</v>
      </c>
      <c r="Z65" s="2"/>
      <c r="AA65" s="2">
        <v>70314467</v>
      </c>
      <c r="AB65" s="2">
        <f>ROUND((AC65+AD65+AF65),6)</f>
        <v>552011.06000000006</v>
      </c>
      <c r="AC65" s="2">
        <f>ROUND((ES65),6)</f>
        <v>552011.06000000006</v>
      </c>
      <c r="AD65" s="2">
        <f>ROUND((((ET65)-(EU65))+AE65),6)</f>
        <v>0</v>
      </c>
      <c r="AE65" s="2">
        <f>ROUND((EU65),6)</f>
        <v>0</v>
      </c>
      <c r="AF65" s="2">
        <f>ROUND((EV65),6)</f>
        <v>0</v>
      </c>
      <c r="AG65" s="2">
        <f>ROUND((AP65),6)</f>
        <v>0</v>
      </c>
      <c r="AH65" s="2">
        <f>(EW65)</f>
        <v>0</v>
      </c>
      <c r="AI65" s="2">
        <f>(EX65)</f>
        <v>0</v>
      </c>
      <c r="AJ65" s="2">
        <f>(AS65)</f>
        <v>0</v>
      </c>
      <c r="AK65" s="2">
        <v>552011.05999999994</v>
      </c>
      <c r="AL65" s="2">
        <v>552011.05999999994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1</v>
      </c>
      <c r="AW65" s="2">
        <v>1</v>
      </c>
      <c r="AX65" s="2"/>
      <c r="AY65" s="2"/>
      <c r="AZ65" s="2">
        <v>1</v>
      </c>
      <c r="BA65" s="2">
        <v>1</v>
      </c>
      <c r="BB65" s="2">
        <v>1</v>
      </c>
      <c r="BC65" s="2">
        <v>1</v>
      </c>
      <c r="BD65" s="2" t="s">
        <v>4</v>
      </c>
      <c r="BE65" s="2" t="s">
        <v>4</v>
      </c>
      <c r="BF65" s="2" t="s">
        <v>4</v>
      </c>
      <c r="BG65" s="2" t="s">
        <v>4</v>
      </c>
      <c r="BH65" s="2">
        <v>3</v>
      </c>
      <c r="BI65" s="2">
        <v>3</v>
      </c>
      <c r="BJ65" s="2" t="s">
        <v>4</v>
      </c>
      <c r="BK65" s="2"/>
      <c r="BL65" s="2"/>
      <c r="BM65" s="2">
        <v>400002</v>
      </c>
      <c r="BN65" s="2">
        <v>0</v>
      </c>
      <c r="BO65" s="2" t="s">
        <v>4</v>
      </c>
      <c r="BP65" s="2">
        <v>0</v>
      </c>
      <c r="BQ65" s="2">
        <v>202</v>
      </c>
      <c r="BR65" s="2">
        <v>0</v>
      </c>
      <c r="BS65" s="2">
        <v>1</v>
      </c>
      <c r="BT65" s="2">
        <v>1</v>
      </c>
      <c r="BU65" s="2">
        <v>1</v>
      </c>
      <c r="BV65" s="2">
        <v>1</v>
      </c>
      <c r="BW65" s="2">
        <v>1</v>
      </c>
      <c r="BX65" s="2">
        <v>1</v>
      </c>
      <c r="BY65" s="2" t="s">
        <v>4</v>
      </c>
      <c r="BZ65" s="2">
        <v>0</v>
      </c>
      <c r="CA65" s="2">
        <v>0</v>
      </c>
      <c r="CB65" s="2" t="s">
        <v>4</v>
      </c>
      <c r="CC65" s="2"/>
      <c r="CD65" s="2"/>
      <c r="CE65" s="2">
        <v>30</v>
      </c>
      <c r="CF65" s="2">
        <v>0</v>
      </c>
      <c r="CG65" s="2">
        <v>0</v>
      </c>
      <c r="CH65" s="2"/>
      <c r="CI65" s="2"/>
      <c r="CJ65" s="2"/>
      <c r="CK65" s="2"/>
      <c r="CL65" s="2"/>
      <c r="CM65" s="2">
        <v>0</v>
      </c>
      <c r="CN65" s="2" t="s">
        <v>4</v>
      </c>
      <c r="CO65" s="2">
        <v>0</v>
      </c>
      <c r="CP65" s="2">
        <f>(P65+Q65+S65)</f>
        <v>1104022.1200000001</v>
      </c>
      <c r="CQ65" s="2">
        <f>ROUND((ROUND((AC65*AW65*1),2)*BC65),2)</f>
        <v>552011.06000000006</v>
      </c>
      <c r="CR65" s="2">
        <f>(ROUND((ROUND(((ET65)*AV65*1),2)*BB65),2)+ROUND((ROUND(((AE65-(EU65))*AV65*1),2)*BS65),2))</f>
        <v>0</v>
      </c>
      <c r="CS65" s="2">
        <f>ROUND((ROUND((AE65*AV65*1),2)*BS65),2)</f>
        <v>0</v>
      </c>
      <c r="CT65" s="2">
        <f>ROUND((ROUND((AF65*AV65*1),2)*BA65),2)</f>
        <v>0</v>
      </c>
      <c r="CU65" s="2">
        <f>AG65</f>
        <v>0</v>
      </c>
      <c r="CV65" s="2">
        <f>(AH65*AV65)</f>
        <v>0</v>
      </c>
      <c r="CW65" s="2">
        <f>AI65</f>
        <v>0</v>
      </c>
      <c r="CX65" s="2">
        <f>AJ65</f>
        <v>0</v>
      </c>
      <c r="CY65" s="2">
        <f>((S65*BZ65)/100)</f>
        <v>0</v>
      </c>
      <c r="CZ65" s="2">
        <f>((S65*CA65)/100)</f>
        <v>0</v>
      </c>
      <c r="DA65" s="2"/>
      <c r="DB65" s="2"/>
      <c r="DC65" s="2" t="s">
        <v>4</v>
      </c>
      <c r="DD65" s="2" t="s">
        <v>4</v>
      </c>
      <c r="DE65" s="2" t="s">
        <v>4</v>
      </c>
      <c r="DF65" s="2" t="s">
        <v>4</v>
      </c>
      <c r="DG65" s="2" t="s">
        <v>4</v>
      </c>
      <c r="DH65" s="2" t="s">
        <v>4</v>
      </c>
      <c r="DI65" s="2" t="s">
        <v>4</v>
      </c>
      <c r="DJ65" s="2" t="s">
        <v>4</v>
      </c>
      <c r="DK65" s="2" t="s">
        <v>4</v>
      </c>
      <c r="DL65" s="2" t="s">
        <v>4</v>
      </c>
      <c r="DM65" s="2" t="s">
        <v>4</v>
      </c>
      <c r="DN65" s="2">
        <v>0</v>
      </c>
      <c r="DO65" s="2">
        <v>0</v>
      </c>
      <c r="DP65" s="2">
        <v>1</v>
      </c>
      <c r="DQ65" s="2">
        <v>1</v>
      </c>
      <c r="DR65" s="2"/>
      <c r="DS65" s="2"/>
      <c r="DT65" s="2"/>
      <c r="DU65" s="2">
        <v>1010</v>
      </c>
      <c r="DV65" s="2" t="s">
        <v>85</v>
      </c>
      <c r="DW65" s="2" t="s">
        <v>85</v>
      </c>
      <c r="DX65" s="2">
        <v>1</v>
      </c>
      <c r="DY65" s="2"/>
      <c r="DZ65" s="2" t="s">
        <v>4</v>
      </c>
      <c r="EA65" s="2" t="s">
        <v>4</v>
      </c>
      <c r="EB65" s="2" t="s">
        <v>4</v>
      </c>
      <c r="EC65" s="2" t="s">
        <v>4</v>
      </c>
      <c r="ED65" s="2"/>
      <c r="EE65" s="2">
        <v>69254592</v>
      </c>
      <c r="EF65" s="2">
        <v>202</v>
      </c>
      <c r="EG65" s="2" t="s">
        <v>86</v>
      </c>
      <c r="EH65" s="2">
        <v>0</v>
      </c>
      <c r="EI65" s="2" t="s">
        <v>4</v>
      </c>
      <c r="EJ65" s="2">
        <v>1</v>
      </c>
      <c r="EK65" s="2">
        <v>400002</v>
      </c>
      <c r="EL65" s="2" t="s">
        <v>87</v>
      </c>
      <c r="EM65" s="2" t="s">
        <v>86</v>
      </c>
      <c r="EN65" s="2"/>
      <c r="EO65" s="2" t="s">
        <v>4</v>
      </c>
      <c r="EP65" s="2"/>
      <c r="EQ65" s="2">
        <v>0</v>
      </c>
      <c r="ER65" s="2">
        <v>0</v>
      </c>
      <c r="ES65" s="2">
        <v>552011.05999999994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2">
        <v>0</v>
      </c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>
        <v>0</v>
      </c>
      <c r="FR65" s="2">
        <f>ROUND(IF(BI65=3,GM65,0),2)</f>
        <v>1104022.1200000001</v>
      </c>
      <c r="FS65" s="2">
        <v>0</v>
      </c>
      <c r="FT65" s="2"/>
      <c r="FU65" s="2"/>
      <c r="FV65" s="2"/>
      <c r="FW65" s="2"/>
      <c r="FX65" s="2">
        <v>0</v>
      </c>
      <c r="FY65" s="2">
        <v>0</v>
      </c>
      <c r="FZ65" s="2"/>
      <c r="GA65" s="2" t="s">
        <v>88</v>
      </c>
      <c r="GB65" s="2"/>
      <c r="GC65" s="2"/>
      <c r="GD65" s="2">
        <v>0</v>
      </c>
      <c r="GE65" s="2"/>
      <c r="GF65" s="2">
        <v>557906678</v>
      </c>
      <c r="GG65" s="2">
        <v>2</v>
      </c>
      <c r="GH65" s="2">
        <v>4</v>
      </c>
      <c r="GI65" s="2">
        <v>-2</v>
      </c>
      <c r="GJ65" s="2">
        <v>0</v>
      </c>
      <c r="GK65" s="2">
        <f>ROUND(R65*(R12)/100,2)</f>
        <v>0</v>
      </c>
      <c r="GL65" s="2">
        <f>ROUND(IF(AND(BH65=3,BI65=3,FS65&lt;&gt;0),P65,0),2)</f>
        <v>0</v>
      </c>
      <c r="GM65" s="2">
        <f>ROUND(O65+X65+Y65+GK65,2)+GX65</f>
        <v>1104022.1200000001</v>
      </c>
      <c r="GN65" s="2">
        <f>IF(OR(BI65=0,BI65=1),GM65-GX65,0)</f>
        <v>0</v>
      </c>
      <c r="GO65" s="2">
        <f>IF(BI65=2,GM65-GX65,0)</f>
        <v>0</v>
      </c>
      <c r="GP65" s="2">
        <f>IF(BI65=4,GM65-GX65,0)</f>
        <v>0</v>
      </c>
      <c r="GQ65" s="2"/>
      <c r="GR65" s="2">
        <v>0</v>
      </c>
      <c r="GS65" s="2">
        <v>2</v>
      </c>
      <c r="GT65" s="2">
        <v>0</v>
      </c>
      <c r="GU65" s="2" t="s">
        <v>4</v>
      </c>
      <c r="GV65" s="2">
        <f>ROUND((GT65),6)</f>
        <v>0</v>
      </c>
      <c r="GW65" s="2">
        <v>1</v>
      </c>
      <c r="GX65" s="2">
        <f>ROUND(HC65*I65,2)</f>
        <v>0</v>
      </c>
      <c r="GY65" s="2"/>
      <c r="GZ65" s="2"/>
      <c r="HA65" s="2">
        <v>0</v>
      </c>
      <c r="HB65" s="2">
        <v>0</v>
      </c>
      <c r="HC65" s="2">
        <f>GV65*GW65</f>
        <v>0</v>
      </c>
      <c r="HD65" s="2"/>
      <c r="HE65" s="2" t="s">
        <v>89</v>
      </c>
      <c r="HF65" s="2" t="s">
        <v>90</v>
      </c>
      <c r="HG65" s="2"/>
      <c r="HH65" s="2"/>
      <c r="HI65" s="2"/>
      <c r="HJ65" s="2"/>
      <c r="HK65" s="2"/>
      <c r="HL65" s="2"/>
      <c r="HM65" s="2" t="s">
        <v>4</v>
      </c>
      <c r="HN65" s="2" t="s">
        <v>4</v>
      </c>
      <c r="HO65" s="2" t="s">
        <v>4</v>
      </c>
      <c r="HP65" s="2" t="s">
        <v>4</v>
      </c>
      <c r="HQ65" s="2" t="s">
        <v>4</v>
      </c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>
        <v>0</v>
      </c>
      <c r="IL65" s="2"/>
      <c r="IM65" s="2"/>
      <c r="IN65" s="2"/>
      <c r="IO65" s="2"/>
      <c r="IP65" s="2"/>
      <c r="IQ65" s="2"/>
      <c r="IR65" s="2"/>
      <c r="IS65" s="2"/>
      <c r="IT65" s="2"/>
      <c r="IU65" s="2"/>
    </row>
    <row r="66" spans="1:255">
      <c r="A66">
        <v>17</v>
      </c>
      <c r="B66">
        <v>1</v>
      </c>
      <c r="E66" t="s">
        <v>82</v>
      </c>
      <c r="F66" t="s">
        <v>83</v>
      </c>
      <c r="G66" t="s">
        <v>84</v>
      </c>
      <c r="H66" t="s">
        <v>85</v>
      </c>
      <c r="I66">
        <v>2</v>
      </c>
      <c r="J66">
        <v>0</v>
      </c>
      <c r="K66">
        <v>2</v>
      </c>
      <c r="O66">
        <f>ROUND(CP66,2)</f>
        <v>8026240.8099999996</v>
      </c>
      <c r="P66">
        <f>ROUND((ROUND((AC66*AW66*I66),2)*BC66),2)</f>
        <v>8026240.8099999996</v>
      </c>
      <c r="Q66">
        <f>(ROUND((ROUND(((ET66)*AV66*I66),2)*BB66),2)+ROUND((ROUND(((AE66-(EU66))*AV66*I66),2)*BS66),2))</f>
        <v>0</v>
      </c>
      <c r="R66">
        <f>ROUND((ROUND((AE66*AV66*I66),2)*BS66),2)</f>
        <v>0</v>
      </c>
      <c r="S66">
        <f>ROUND((ROUND((AF66*AV66*I66),2)*BA66),2)</f>
        <v>0</v>
      </c>
      <c r="T66">
        <f>ROUND(CU66*I66,2)</f>
        <v>0</v>
      </c>
      <c r="U66">
        <f>CV66*I66</f>
        <v>0</v>
      </c>
      <c r="V66">
        <f>CW66*I66</f>
        <v>0</v>
      </c>
      <c r="W66">
        <f>ROUND(CX66*I66,2)</f>
        <v>0</v>
      </c>
      <c r="X66">
        <f>ROUND(CY66,2)</f>
        <v>0</v>
      </c>
      <c r="Y66">
        <f>ROUND(CZ66,2)</f>
        <v>0</v>
      </c>
      <c r="AA66">
        <v>70314464</v>
      </c>
      <c r="AB66">
        <f>ROUND((AC66+AD66+AF66),6)</f>
        <v>552011.06000000006</v>
      </c>
      <c r="AC66">
        <f>ROUND((ES66),6)</f>
        <v>552011.06000000006</v>
      </c>
      <c r="AD66">
        <f>ROUND((((ET66)-(EU66))+AE66),6)</f>
        <v>0</v>
      </c>
      <c r="AE66">
        <f>ROUND((EU66),6)</f>
        <v>0</v>
      </c>
      <c r="AF66">
        <f>ROUND((EV66),6)</f>
        <v>0</v>
      </c>
      <c r="AG66">
        <f>ROUND((AP66),6)</f>
        <v>0</v>
      </c>
      <c r="AH66">
        <f>(EW66)</f>
        <v>0</v>
      </c>
      <c r="AI66">
        <f>(EX66)</f>
        <v>0</v>
      </c>
      <c r="AJ66">
        <f>(AS66)</f>
        <v>0</v>
      </c>
      <c r="AK66">
        <v>552011.05999999994</v>
      </c>
      <c r="AL66">
        <v>552011.05999999994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1</v>
      </c>
      <c r="AW66">
        <v>1</v>
      </c>
      <c r="AZ66">
        <v>1</v>
      </c>
      <c r="BA66">
        <v>1</v>
      </c>
      <c r="BB66">
        <v>1</v>
      </c>
      <c r="BC66">
        <v>7.27</v>
      </c>
      <c r="BD66" t="s">
        <v>4</v>
      </c>
      <c r="BE66" t="s">
        <v>4</v>
      </c>
      <c r="BF66" t="s">
        <v>4</v>
      </c>
      <c r="BG66" t="s">
        <v>4</v>
      </c>
      <c r="BH66">
        <v>3</v>
      </c>
      <c r="BI66">
        <v>3</v>
      </c>
      <c r="BJ66" t="s">
        <v>4</v>
      </c>
      <c r="BM66">
        <v>400002</v>
      </c>
      <c r="BN66">
        <v>0</v>
      </c>
      <c r="BO66" t="s">
        <v>4</v>
      </c>
      <c r="BP66">
        <v>0</v>
      </c>
      <c r="BQ66">
        <v>202</v>
      </c>
      <c r="BR66">
        <v>0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 t="s">
        <v>4</v>
      </c>
      <c r="BZ66">
        <v>0</v>
      </c>
      <c r="CA66">
        <v>0</v>
      </c>
      <c r="CB66" t="s">
        <v>4</v>
      </c>
      <c r="CE66">
        <v>30</v>
      </c>
      <c r="CF66">
        <v>0</v>
      </c>
      <c r="CG66">
        <v>0</v>
      </c>
      <c r="CM66">
        <v>0</v>
      </c>
      <c r="CN66" t="s">
        <v>4</v>
      </c>
      <c r="CO66">
        <v>0</v>
      </c>
      <c r="CP66">
        <f>(P66+Q66+S66)</f>
        <v>8026240.8099999996</v>
      </c>
      <c r="CQ66">
        <f>ROUND((ROUND((AC66*AW66*1),2)*BC66),2)</f>
        <v>4013120.41</v>
      </c>
      <c r="CR66">
        <f>(ROUND((ROUND(((ET66)*AV66*1),2)*BB66),2)+ROUND((ROUND(((AE66-(EU66))*AV66*1),2)*BS66),2))</f>
        <v>0</v>
      </c>
      <c r="CS66">
        <f>ROUND((ROUND((AE66*AV66*1),2)*BS66),2)</f>
        <v>0</v>
      </c>
      <c r="CT66">
        <f>ROUND((ROUND((AF66*AV66*1),2)*BA66),2)</f>
        <v>0</v>
      </c>
      <c r="CU66">
        <f>AG66</f>
        <v>0</v>
      </c>
      <c r="CV66">
        <f>(AH66*AV66)</f>
        <v>0</v>
      </c>
      <c r="CW66">
        <f>AI66</f>
        <v>0</v>
      </c>
      <c r="CX66">
        <f>AJ66</f>
        <v>0</v>
      </c>
      <c r="CY66">
        <f>S66*(BZ66/100)</f>
        <v>0</v>
      </c>
      <c r="CZ66">
        <f>S66*(CA66/100)</f>
        <v>0</v>
      </c>
      <c r="DC66" t="s">
        <v>4</v>
      </c>
      <c r="DD66" t="s">
        <v>4</v>
      </c>
      <c r="DE66" t="s">
        <v>4</v>
      </c>
      <c r="DF66" t="s">
        <v>4</v>
      </c>
      <c r="DG66" t="s">
        <v>4</v>
      </c>
      <c r="DH66" t="s">
        <v>4</v>
      </c>
      <c r="DI66" t="s">
        <v>4</v>
      </c>
      <c r="DJ66" t="s">
        <v>4</v>
      </c>
      <c r="DK66" t="s">
        <v>4</v>
      </c>
      <c r="DL66" t="s">
        <v>4</v>
      </c>
      <c r="DM66" t="s">
        <v>4</v>
      </c>
      <c r="DN66">
        <v>0</v>
      </c>
      <c r="DO66">
        <v>0</v>
      </c>
      <c r="DP66">
        <v>1</v>
      </c>
      <c r="DQ66">
        <v>1</v>
      </c>
      <c r="DU66">
        <v>1010</v>
      </c>
      <c r="DV66" t="s">
        <v>85</v>
      </c>
      <c r="DW66" t="s">
        <v>85</v>
      </c>
      <c r="DX66">
        <v>1</v>
      </c>
      <c r="DZ66" t="s">
        <v>4</v>
      </c>
      <c r="EA66" t="s">
        <v>4</v>
      </c>
      <c r="EB66" t="s">
        <v>4</v>
      </c>
      <c r="EC66" t="s">
        <v>4</v>
      </c>
      <c r="EE66">
        <v>69254592</v>
      </c>
      <c r="EF66">
        <v>202</v>
      </c>
      <c r="EG66" t="s">
        <v>86</v>
      </c>
      <c r="EH66">
        <v>0</v>
      </c>
      <c r="EI66" t="s">
        <v>4</v>
      </c>
      <c r="EJ66">
        <v>1</v>
      </c>
      <c r="EK66">
        <v>400002</v>
      </c>
      <c r="EL66" t="s">
        <v>87</v>
      </c>
      <c r="EM66" t="s">
        <v>86</v>
      </c>
      <c r="EO66" t="s">
        <v>4</v>
      </c>
      <c r="EQ66">
        <v>0</v>
      </c>
      <c r="ER66">
        <v>552011.05999999994</v>
      </c>
      <c r="ES66">
        <v>552011.05999999994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5</v>
      </c>
      <c r="FC66">
        <v>1</v>
      </c>
      <c r="FD66">
        <v>18</v>
      </c>
      <c r="FF66">
        <v>4620039.5999999996</v>
      </c>
      <c r="FQ66">
        <v>0</v>
      </c>
      <c r="FR66">
        <f>ROUND(IF(BI66=3,GM66,0),2)</f>
        <v>8026240.8099999996</v>
      </c>
      <c r="FS66">
        <v>0</v>
      </c>
      <c r="FX66">
        <v>0</v>
      </c>
      <c r="FY66">
        <v>0</v>
      </c>
      <c r="GA66" t="s">
        <v>88</v>
      </c>
      <c r="GD66">
        <v>0</v>
      </c>
      <c r="GF66">
        <v>557906678</v>
      </c>
      <c r="GG66">
        <v>2</v>
      </c>
      <c r="GH66">
        <v>3</v>
      </c>
      <c r="GI66">
        <v>3</v>
      </c>
      <c r="GJ66">
        <v>0</v>
      </c>
      <c r="GK66">
        <f>ROUND(R66*(S12)/100,2)</f>
        <v>0</v>
      </c>
      <c r="GL66">
        <f>ROUND(IF(AND(BH66=3,BI66=3,FS66&lt;&gt;0),P66,0),2)</f>
        <v>0</v>
      </c>
      <c r="GM66">
        <f>ROUND(O66+X66+Y66+GK66,2)+GX66</f>
        <v>8026240.8099999996</v>
      </c>
      <c r="GN66">
        <f>IF(OR(BI66=0,BI66=1),GM66-GX66,0)</f>
        <v>0</v>
      </c>
      <c r="GO66">
        <f>IF(BI66=2,GM66-GX66,0)</f>
        <v>0</v>
      </c>
      <c r="GP66">
        <f>IF(BI66=4,GM66-GX66,0)</f>
        <v>0</v>
      </c>
      <c r="GR66">
        <v>1</v>
      </c>
      <c r="GS66">
        <v>1</v>
      </c>
      <c r="GT66">
        <v>0</v>
      </c>
      <c r="GU66" t="s">
        <v>4</v>
      </c>
      <c r="GV66">
        <f>ROUND((GT66),6)</f>
        <v>0</v>
      </c>
      <c r="GW66">
        <v>1</v>
      </c>
      <c r="GX66">
        <f>ROUND(HC66*I66,2)</f>
        <v>0</v>
      </c>
      <c r="HA66">
        <v>0</v>
      </c>
      <c r="HB66">
        <v>0</v>
      </c>
      <c r="HC66">
        <f>GV66*GW66</f>
        <v>0</v>
      </c>
      <c r="HE66" t="s">
        <v>89</v>
      </c>
      <c r="HF66" t="s">
        <v>90</v>
      </c>
      <c r="HM66" t="s">
        <v>4</v>
      </c>
      <c r="HN66" t="s">
        <v>4</v>
      </c>
      <c r="HO66" t="s">
        <v>4</v>
      </c>
      <c r="HP66" t="s">
        <v>4</v>
      </c>
      <c r="HQ66" t="s">
        <v>4</v>
      </c>
      <c r="IK66">
        <v>0</v>
      </c>
    </row>
    <row r="68" spans="1:255">
      <c r="A68" s="3">
        <v>51</v>
      </c>
      <c r="B68" s="3">
        <f>B61</f>
        <v>1</v>
      </c>
      <c r="C68" s="3">
        <f>A61</f>
        <v>4</v>
      </c>
      <c r="D68" s="3">
        <f>ROW(A61)</f>
        <v>61</v>
      </c>
      <c r="E68" s="3"/>
      <c r="F68" s="3" t="str">
        <f>IF(F61&lt;&gt;"",F61,"")</f>
        <v>Новый раздел</v>
      </c>
      <c r="G68" s="3" t="str">
        <f>IF(G61&lt;&gt;"",G61,"")</f>
        <v>Оборудование</v>
      </c>
      <c r="H68" s="3">
        <v>0</v>
      </c>
      <c r="I68" s="3"/>
      <c r="J68" s="3"/>
      <c r="K68" s="3"/>
      <c r="L68" s="3"/>
      <c r="M68" s="3"/>
      <c r="N68" s="3"/>
      <c r="O68" s="3">
        <f t="shared" ref="O68:T68" si="32">ROUND(AB68,2)</f>
        <v>1104022.1200000001</v>
      </c>
      <c r="P68" s="3">
        <f t="shared" si="32"/>
        <v>1104022.1200000001</v>
      </c>
      <c r="Q68" s="3">
        <f t="shared" si="32"/>
        <v>0</v>
      </c>
      <c r="R68" s="3">
        <f t="shared" si="32"/>
        <v>0</v>
      </c>
      <c r="S68" s="3">
        <f t="shared" si="32"/>
        <v>0</v>
      </c>
      <c r="T68" s="3">
        <f t="shared" si="32"/>
        <v>0</v>
      </c>
      <c r="U68" s="3">
        <f>AH68</f>
        <v>0</v>
      </c>
      <c r="V68" s="3">
        <f>AI68</f>
        <v>0</v>
      </c>
      <c r="W68" s="3">
        <f>ROUND(AJ68,2)</f>
        <v>0</v>
      </c>
      <c r="X68" s="3">
        <f>ROUND(AK68,2)</f>
        <v>0</v>
      </c>
      <c r="Y68" s="3">
        <f>ROUND(AL68,2)</f>
        <v>0</v>
      </c>
      <c r="Z68" s="3"/>
      <c r="AA68" s="3"/>
      <c r="AB68" s="3">
        <f>ROUND(SUMIF(AA65:AA66,"=70314467",O65:O66),2)</f>
        <v>1104022.1200000001</v>
      </c>
      <c r="AC68" s="3">
        <f>ROUND(SUMIF(AA65:AA66,"=70314467",P65:P66),2)</f>
        <v>1104022.1200000001</v>
      </c>
      <c r="AD68" s="3">
        <f>ROUND(SUMIF(AA65:AA66,"=70314467",Q65:Q66),2)</f>
        <v>0</v>
      </c>
      <c r="AE68" s="3">
        <f>ROUND(SUMIF(AA65:AA66,"=70314467",R65:R66),2)</f>
        <v>0</v>
      </c>
      <c r="AF68" s="3">
        <f>ROUND(SUMIF(AA65:AA66,"=70314467",S65:S66),2)</f>
        <v>0</v>
      </c>
      <c r="AG68" s="3">
        <f>ROUND(SUMIF(AA65:AA66,"=70314467",T65:T66),2)</f>
        <v>0</v>
      </c>
      <c r="AH68" s="3">
        <f>SUMIF(AA65:AA66,"=70314467",U65:U66)</f>
        <v>0</v>
      </c>
      <c r="AI68" s="3">
        <f>SUMIF(AA65:AA66,"=70314467",V65:V66)</f>
        <v>0</v>
      </c>
      <c r="AJ68" s="3">
        <f>ROUND(SUMIF(AA65:AA66,"=70314467",W65:W66),2)</f>
        <v>0</v>
      </c>
      <c r="AK68" s="3">
        <f>ROUND(SUMIF(AA65:AA66,"=70314467",X65:X66),2)</f>
        <v>0</v>
      </c>
      <c r="AL68" s="3">
        <f>ROUND(SUMIF(AA65:AA66,"=70314467",Y65:Y66),2)</f>
        <v>0</v>
      </c>
      <c r="AM68" s="3"/>
      <c r="AN68" s="3"/>
      <c r="AO68" s="3">
        <f t="shared" ref="AO68:BD68" si="33">ROUND(BX68,2)</f>
        <v>0</v>
      </c>
      <c r="AP68" s="3">
        <f t="shared" si="33"/>
        <v>1104022.1200000001</v>
      </c>
      <c r="AQ68" s="3">
        <f t="shared" si="33"/>
        <v>0</v>
      </c>
      <c r="AR68" s="3">
        <f t="shared" si="33"/>
        <v>1104022.1200000001</v>
      </c>
      <c r="AS68" s="3">
        <f t="shared" si="33"/>
        <v>0</v>
      </c>
      <c r="AT68" s="3">
        <f t="shared" si="33"/>
        <v>0</v>
      </c>
      <c r="AU68" s="3">
        <f t="shared" si="33"/>
        <v>0</v>
      </c>
      <c r="AV68" s="3">
        <f t="shared" si="33"/>
        <v>1104022.1200000001</v>
      </c>
      <c r="AW68" s="3">
        <f t="shared" si="33"/>
        <v>0</v>
      </c>
      <c r="AX68" s="3">
        <f t="shared" si="33"/>
        <v>0</v>
      </c>
      <c r="AY68" s="3">
        <f t="shared" si="33"/>
        <v>0</v>
      </c>
      <c r="AZ68" s="3">
        <f t="shared" si="33"/>
        <v>1104022.1200000001</v>
      </c>
      <c r="BA68" s="3">
        <f t="shared" si="33"/>
        <v>0</v>
      </c>
      <c r="BB68" s="3">
        <f t="shared" si="33"/>
        <v>0</v>
      </c>
      <c r="BC68" s="3">
        <f t="shared" si="33"/>
        <v>0</v>
      </c>
      <c r="BD68" s="3">
        <f t="shared" si="33"/>
        <v>0</v>
      </c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>
        <f>ROUND(SUMIF(AA65:AA66,"=70314467",FQ65:FQ66),2)</f>
        <v>0</v>
      </c>
      <c r="BY68" s="3">
        <f>ROUND(SUMIF(AA65:AA66,"=70314467",FR65:FR66),2)</f>
        <v>1104022.1200000001</v>
      </c>
      <c r="BZ68" s="3">
        <f>ROUND(SUMIF(AA65:AA66,"=70314467",GL65:GL66),2)</f>
        <v>0</v>
      </c>
      <c r="CA68" s="3">
        <f>ROUND(SUMIF(AA65:AA66,"=70314467",GM65:GM66),2)</f>
        <v>1104022.1200000001</v>
      </c>
      <c r="CB68" s="3">
        <f>ROUND(SUMIF(AA65:AA66,"=70314467",GN65:GN66),2)</f>
        <v>0</v>
      </c>
      <c r="CC68" s="3">
        <f>ROUND(SUMIF(AA65:AA66,"=70314467",GO65:GO66),2)</f>
        <v>0</v>
      </c>
      <c r="CD68" s="3">
        <f>ROUND(SUMIF(AA65:AA66,"=70314467",GP65:GP66),2)</f>
        <v>0</v>
      </c>
      <c r="CE68" s="3">
        <f>AC68-BX68</f>
        <v>1104022.1200000001</v>
      </c>
      <c r="CF68" s="3">
        <f>AC68-BY68</f>
        <v>0</v>
      </c>
      <c r="CG68" s="3">
        <f>BX68-BZ68</f>
        <v>0</v>
      </c>
      <c r="CH68" s="3">
        <f>AC68-BX68-BY68+BZ68</f>
        <v>0</v>
      </c>
      <c r="CI68" s="3">
        <f>BY68-BZ68</f>
        <v>1104022.1200000001</v>
      </c>
      <c r="CJ68" s="3">
        <f>ROUND(SUMIF(AA65:AA66,"=70314467",GX65:GX66),2)</f>
        <v>0</v>
      </c>
      <c r="CK68" s="3">
        <f>ROUND(SUMIF(AA65:AA66,"=70314467",GY65:GY66),2)</f>
        <v>0</v>
      </c>
      <c r="CL68" s="3">
        <f>ROUND(SUMIF(AA65:AA66,"=70314467",GZ65:GZ66),2)</f>
        <v>0</v>
      </c>
      <c r="CM68" s="3">
        <f>ROUND(SUMIF(AA65:AA66,"=70314467",HD65:HD66),2)</f>
        <v>0</v>
      </c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4">
        <f t="shared" ref="DG68:DL68" si="34">ROUND(DT68,2)</f>
        <v>8026240.8099999996</v>
      </c>
      <c r="DH68" s="4">
        <f t="shared" si="34"/>
        <v>8026240.8099999996</v>
      </c>
      <c r="DI68" s="4">
        <f t="shared" si="34"/>
        <v>0</v>
      </c>
      <c r="DJ68" s="4">
        <f t="shared" si="34"/>
        <v>0</v>
      </c>
      <c r="DK68" s="4">
        <f t="shared" si="34"/>
        <v>0</v>
      </c>
      <c r="DL68" s="4">
        <f t="shared" si="34"/>
        <v>0</v>
      </c>
      <c r="DM68" s="4">
        <f>DZ68</f>
        <v>0</v>
      </c>
      <c r="DN68" s="4">
        <f>EA68</f>
        <v>0</v>
      </c>
      <c r="DO68" s="4">
        <f>ROUND(EB68,2)</f>
        <v>0</v>
      </c>
      <c r="DP68" s="4">
        <f>ROUND(EC68,2)</f>
        <v>0</v>
      </c>
      <c r="DQ68" s="4">
        <f>ROUND(ED68,2)</f>
        <v>0</v>
      </c>
      <c r="DR68" s="4"/>
      <c r="DS68" s="4"/>
      <c r="DT68" s="4">
        <f>ROUND(SUMIF(AA65:AA66,"=70314464",O65:O66),2)</f>
        <v>8026240.8099999996</v>
      </c>
      <c r="DU68" s="4">
        <f>ROUND(SUMIF(AA65:AA66,"=70314464",P65:P66),2)</f>
        <v>8026240.8099999996</v>
      </c>
      <c r="DV68" s="4">
        <f>ROUND(SUMIF(AA65:AA66,"=70314464",Q65:Q66),2)</f>
        <v>0</v>
      </c>
      <c r="DW68" s="4">
        <f>ROUND(SUMIF(AA65:AA66,"=70314464",R65:R66),2)</f>
        <v>0</v>
      </c>
      <c r="DX68" s="4">
        <f>ROUND(SUMIF(AA65:AA66,"=70314464",S65:S66),2)</f>
        <v>0</v>
      </c>
      <c r="DY68" s="4">
        <f>ROUND(SUMIF(AA65:AA66,"=70314464",T65:T66),2)</f>
        <v>0</v>
      </c>
      <c r="DZ68" s="4">
        <f>SUMIF(AA65:AA66,"=70314464",U65:U66)</f>
        <v>0</v>
      </c>
      <c r="EA68" s="4">
        <f>SUMIF(AA65:AA66,"=70314464",V65:V66)</f>
        <v>0</v>
      </c>
      <c r="EB68" s="4">
        <f>ROUND(SUMIF(AA65:AA66,"=70314464",W65:W66),2)</f>
        <v>0</v>
      </c>
      <c r="EC68" s="4">
        <f>ROUND(SUMIF(AA65:AA66,"=70314464",X65:X66),2)</f>
        <v>0</v>
      </c>
      <c r="ED68" s="4">
        <f>ROUND(SUMIF(AA65:AA66,"=70314464",Y65:Y66),2)</f>
        <v>0</v>
      </c>
      <c r="EE68" s="4"/>
      <c r="EF68" s="4"/>
      <c r="EG68" s="4">
        <f t="shared" ref="EG68:EV68" si="35">ROUND(FP68,2)</f>
        <v>0</v>
      </c>
      <c r="EH68" s="4">
        <f t="shared" si="35"/>
        <v>8026240.8099999996</v>
      </c>
      <c r="EI68" s="4">
        <f t="shared" si="35"/>
        <v>0</v>
      </c>
      <c r="EJ68" s="4">
        <f t="shared" si="35"/>
        <v>8026240.8099999996</v>
      </c>
      <c r="EK68" s="4">
        <f t="shared" si="35"/>
        <v>0</v>
      </c>
      <c r="EL68" s="4">
        <f t="shared" si="35"/>
        <v>0</v>
      </c>
      <c r="EM68" s="4">
        <f t="shared" si="35"/>
        <v>0</v>
      </c>
      <c r="EN68" s="4">
        <f t="shared" si="35"/>
        <v>8026240.8099999996</v>
      </c>
      <c r="EO68" s="4">
        <f t="shared" si="35"/>
        <v>0</v>
      </c>
      <c r="EP68" s="4">
        <f t="shared" si="35"/>
        <v>0</v>
      </c>
      <c r="EQ68" s="4">
        <f t="shared" si="35"/>
        <v>0</v>
      </c>
      <c r="ER68" s="4">
        <f t="shared" si="35"/>
        <v>8026240.8099999996</v>
      </c>
      <c r="ES68" s="4">
        <f t="shared" si="35"/>
        <v>0</v>
      </c>
      <c r="ET68" s="4">
        <f t="shared" si="35"/>
        <v>0</v>
      </c>
      <c r="EU68" s="4">
        <f t="shared" si="35"/>
        <v>0</v>
      </c>
      <c r="EV68" s="4">
        <f t="shared" si="35"/>
        <v>0</v>
      </c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>
        <f>ROUND(SUMIF(AA65:AA66,"=70314464",FQ65:FQ66),2)</f>
        <v>0</v>
      </c>
      <c r="FQ68" s="4">
        <f>ROUND(SUMIF(AA65:AA66,"=70314464",FR65:FR66),2)</f>
        <v>8026240.8099999996</v>
      </c>
      <c r="FR68" s="4">
        <f>ROUND(SUMIF(AA65:AA66,"=70314464",GL65:GL66),2)</f>
        <v>0</v>
      </c>
      <c r="FS68" s="4">
        <f>ROUND(SUMIF(AA65:AA66,"=70314464",GM65:GM66),2)</f>
        <v>8026240.8099999996</v>
      </c>
      <c r="FT68" s="4">
        <f>ROUND(SUMIF(AA65:AA66,"=70314464",GN65:GN66),2)</f>
        <v>0</v>
      </c>
      <c r="FU68" s="4">
        <f>ROUND(SUMIF(AA65:AA66,"=70314464",GO65:GO66),2)</f>
        <v>0</v>
      </c>
      <c r="FV68" s="4">
        <f>ROUND(SUMIF(AA65:AA66,"=70314464",GP65:GP66),2)</f>
        <v>0</v>
      </c>
      <c r="FW68" s="4">
        <f>DU68-FP68</f>
        <v>8026240.8099999996</v>
      </c>
      <c r="FX68" s="4">
        <f>DU68-FQ68</f>
        <v>0</v>
      </c>
      <c r="FY68" s="4">
        <f>FP68-FR68</f>
        <v>0</v>
      </c>
      <c r="FZ68" s="4">
        <f>DU68-FP68-FQ68+FR68</f>
        <v>0</v>
      </c>
      <c r="GA68" s="4">
        <f>FQ68-FR68</f>
        <v>8026240.8099999996</v>
      </c>
      <c r="GB68" s="4">
        <f>ROUND(SUMIF(AA65:AA66,"=70314464",GX65:GX66),2)</f>
        <v>0</v>
      </c>
      <c r="GC68" s="4">
        <f>ROUND(SUMIF(AA65:AA66,"=70314464",GY65:GY66),2)</f>
        <v>0</v>
      </c>
      <c r="GD68" s="4">
        <f>ROUND(SUMIF(AA65:AA66,"=70314464",GZ65:GZ66),2)</f>
        <v>0</v>
      </c>
      <c r="GE68" s="4">
        <f>ROUND(SUMIF(AA65:AA66,"=70314464",HD65:HD66),2)</f>
        <v>0</v>
      </c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>
        <v>0</v>
      </c>
    </row>
    <row r="70" spans="1:255">
      <c r="A70" s="5">
        <v>50</v>
      </c>
      <c r="B70" s="5">
        <v>0</v>
      </c>
      <c r="C70" s="5">
        <v>0</v>
      </c>
      <c r="D70" s="5">
        <v>1</v>
      </c>
      <c r="E70" s="5">
        <v>201</v>
      </c>
      <c r="F70" s="5">
        <f>ROUND(Source!O68,O70)</f>
        <v>1104022.1200000001</v>
      </c>
      <c r="G70" s="5" t="s">
        <v>27</v>
      </c>
      <c r="H70" s="5" t="s">
        <v>28</v>
      </c>
      <c r="I70" s="5"/>
      <c r="J70" s="5"/>
      <c r="K70" s="5">
        <v>201</v>
      </c>
      <c r="L70" s="5">
        <v>1</v>
      </c>
      <c r="M70" s="5">
        <v>3</v>
      </c>
      <c r="N70" s="5" t="s">
        <v>4</v>
      </c>
      <c r="O70" s="5">
        <v>2</v>
      </c>
      <c r="P70" s="5">
        <f>ROUND(Source!DG68,O70)</f>
        <v>8026240.8099999996</v>
      </c>
      <c r="Q70" s="5"/>
      <c r="R70" s="5"/>
      <c r="S70" s="5"/>
      <c r="T70" s="5"/>
      <c r="U70" s="5"/>
      <c r="V70" s="5"/>
      <c r="W70" s="5">
        <v>1104022.1200000001</v>
      </c>
      <c r="X70" s="5">
        <v>1</v>
      </c>
      <c r="Y70" s="5">
        <v>1104022.1200000001</v>
      </c>
      <c r="Z70" s="5">
        <v>8026240.8099999996</v>
      </c>
      <c r="AA70" s="5">
        <v>1</v>
      </c>
      <c r="AB70" s="5">
        <v>8026240.8099999996</v>
      </c>
    </row>
    <row r="71" spans="1:255">
      <c r="A71" s="5">
        <v>50</v>
      </c>
      <c r="B71" s="5">
        <v>0</v>
      </c>
      <c r="C71" s="5">
        <v>0</v>
      </c>
      <c r="D71" s="5">
        <v>1</v>
      </c>
      <c r="E71" s="5">
        <v>202</v>
      </c>
      <c r="F71" s="5">
        <f>ROUND(Source!P68,O71)</f>
        <v>1104022.1200000001</v>
      </c>
      <c r="G71" s="5" t="s">
        <v>29</v>
      </c>
      <c r="H71" s="5" t="s">
        <v>30</v>
      </c>
      <c r="I71" s="5"/>
      <c r="J71" s="5"/>
      <c r="K71" s="5">
        <v>202</v>
      </c>
      <c r="L71" s="5">
        <v>2</v>
      </c>
      <c r="M71" s="5">
        <v>3</v>
      </c>
      <c r="N71" s="5" t="s">
        <v>4</v>
      </c>
      <c r="O71" s="5">
        <v>2</v>
      </c>
      <c r="P71" s="5">
        <f>ROUND(Source!DH68,O71)</f>
        <v>8026240.8099999996</v>
      </c>
      <c r="Q71" s="5"/>
      <c r="R71" s="5"/>
      <c r="S71" s="5"/>
      <c r="T71" s="5"/>
      <c r="U71" s="5"/>
      <c r="V71" s="5"/>
      <c r="W71" s="5">
        <v>1104022.1200000001</v>
      </c>
      <c r="X71" s="5">
        <v>1</v>
      </c>
      <c r="Y71" s="5">
        <v>1104022.1200000001</v>
      </c>
      <c r="Z71" s="5">
        <v>8026240.8099999996</v>
      </c>
      <c r="AA71" s="5">
        <v>1</v>
      </c>
      <c r="AB71" s="5">
        <v>8026240.8099999996</v>
      </c>
    </row>
    <row r="72" spans="1:255">
      <c r="A72" s="5">
        <v>50</v>
      </c>
      <c r="B72" s="5">
        <v>0</v>
      </c>
      <c r="C72" s="5">
        <v>0</v>
      </c>
      <c r="D72" s="5">
        <v>1</v>
      </c>
      <c r="E72" s="5">
        <v>222</v>
      </c>
      <c r="F72" s="5">
        <f>ROUND(Source!AO68,O72)</f>
        <v>0</v>
      </c>
      <c r="G72" s="5" t="s">
        <v>31</v>
      </c>
      <c r="H72" s="5" t="s">
        <v>32</v>
      </c>
      <c r="I72" s="5"/>
      <c r="J72" s="5"/>
      <c r="K72" s="5">
        <v>222</v>
      </c>
      <c r="L72" s="5">
        <v>3</v>
      </c>
      <c r="M72" s="5">
        <v>3</v>
      </c>
      <c r="N72" s="5" t="s">
        <v>4</v>
      </c>
      <c r="O72" s="5">
        <v>2</v>
      </c>
      <c r="P72" s="5">
        <f>ROUND(Source!EG68,O72)</f>
        <v>0</v>
      </c>
      <c r="Q72" s="5"/>
      <c r="R72" s="5"/>
      <c r="S72" s="5"/>
      <c r="T72" s="5"/>
      <c r="U72" s="5"/>
      <c r="V72" s="5"/>
      <c r="W72" s="5">
        <v>0</v>
      </c>
      <c r="X72" s="5">
        <v>1</v>
      </c>
      <c r="Y72" s="5">
        <v>0</v>
      </c>
      <c r="Z72" s="5">
        <v>0</v>
      </c>
      <c r="AA72" s="5">
        <v>1</v>
      </c>
      <c r="AB72" s="5">
        <v>0</v>
      </c>
    </row>
    <row r="73" spans="1:255">
      <c r="A73" s="5">
        <v>50</v>
      </c>
      <c r="B73" s="5">
        <v>0</v>
      </c>
      <c r="C73" s="5">
        <v>0</v>
      </c>
      <c r="D73" s="5">
        <v>1</v>
      </c>
      <c r="E73" s="5">
        <v>225</v>
      </c>
      <c r="F73" s="5">
        <f>ROUND(Source!AV68,O73)</f>
        <v>1104022.1200000001</v>
      </c>
      <c r="G73" s="5" t="s">
        <v>33</v>
      </c>
      <c r="H73" s="5" t="s">
        <v>34</v>
      </c>
      <c r="I73" s="5"/>
      <c r="J73" s="5"/>
      <c r="K73" s="5">
        <v>225</v>
      </c>
      <c r="L73" s="5">
        <v>4</v>
      </c>
      <c r="M73" s="5">
        <v>3</v>
      </c>
      <c r="N73" s="5" t="s">
        <v>4</v>
      </c>
      <c r="O73" s="5">
        <v>2</v>
      </c>
      <c r="P73" s="5">
        <f>ROUND(Source!EN68,O73)</f>
        <v>8026240.8099999996</v>
      </c>
      <c r="Q73" s="5"/>
      <c r="R73" s="5"/>
      <c r="S73" s="5"/>
      <c r="T73" s="5"/>
      <c r="U73" s="5"/>
      <c r="V73" s="5"/>
      <c r="W73" s="5">
        <v>1104022.1200000001</v>
      </c>
      <c r="X73" s="5">
        <v>1</v>
      </c>
      <c r="Y73" s="5">
        <v>1104022.1200000001</v>
      </c>
      <c r="Z73" s="5">
        <v>8026240.8099999996</v>
      </c>
      <c r="AA73" s="5">
        <v>1</v>
      </c>
      <c r="AB73" s="5">
        <v>8026240.8099999996</v>
      </c>
    </row>
    <row r="74" spans="1:255">
      <c r="A74" s="5">
        <v>50</v>
      </c>
      <c r="B74" s="5">
        <v>0</v>
      </c>
      <c r="C74" s="5">
        <v>0</v>
      </c>
      <c r="D74" s="5">
        <v>1</v>
      </c>
      <c r="E74" s="5">
        <v>226</v>
      </c>
      <c r="F74" s="5">
        <f>ROUND(Source!AW68,O74)</f>
        <v>0</v>
      </c>
      <c r="G74" s="5" t="s">
        <v>35</v>
      </c>
      <c r="H74" s="5" t="s">
        <v>36</v>
      </c>
      <c r="I74" s="5"/>
      <c r="J74" s="5"/>
      <c r="K74" s="5">
        <v>226</v>
      </c>
      <c r="L74" s="5">
        <v>5</v>
      </c>
      <c r="M74" s="5">
        <v>3</v>
      </c>
      <c r="N74" s="5" t="s">
        <v>4</v>
      </c>
      <c r="O74" s="5">
        <v>2</v>
      </c>
      <c r="P74" s="5">
        <f>ROUND(Source!EO68,O74)</f>
        <v>0</v>
      </c>
      <c r="Q74" s="5"/>
      <c r="R74" s="5"/>
      <c r="S74" s="5"/>
      <c r="T74" s="5"/>
      <c r="U74" s="5"/>
      <c r="V74" s="5"/>
      <c r="W74" s="5">
        <v>0</v>
      </c>
      <c r="X74" s="5">
        <v>1</v>
      </c>
      <c r="Y74" s="5">
        <v>0</v>
      </c>
      <c r="Z74" s="5">
        <v>0</v>
      </c>
      <c r="AA74" s="5">
        <v>1</v>
      </c>
      <c r="AB74" s="5">
        <v>0</v>
      </c>
    </row>
    <row r="75" spans="1:255">
      <c r="A75" s="5">
        <v>50</v>
      </c>
      <c r="B75" s="5">
        <v>0</v>
      </c>
      <c r="C75" s="5">
        <v>0</v>
      </c>
      <c r="D75" s="5">
        <v>1</v>
      </c>
      <c r="E75" s="5">
        <v>227</v>
      </c>
      <c r="F75" s="5">
        <f>ROUND(Source!AX68,O75)</f>
        <v>0</v>
      </c>
      <c r="G75" s="5" t="s">
        <v>37</v>
      </c>
      <c r="H75" s="5" t="s">
        <v>38</v>
      </c>
      <c r="I75" s="5"/>
      <c r="J75" s="5"/>
      <c r="K75" s="5">
        <v>227</v>
      </c>
      <c r="L75" s="5">
        <v>6</v>
      </c>
      <c r="M75" s="5">
        <v>3</v>
      </c>
      <c r="N75" s="5" t="s">
        <v>4</v>
      </c>
      <c r="O75" s="5">
        <v>2</v>
      </c>
      <c r="P75" s="5">
        <f>ROUND(Source!EP68,O75)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55">
      <c r="A76" s="5">
        <v>50</v>
      </c>
      <c r="B76" s="5">
        <v>0</v>
      </c>
      <c r="C76" s="5">
        <v>0</v>
      </c>
      <c r="D76" s="5">
        <v>1</v>
      </c>
      <c r="E76" s="5">
        <v>228</v>
      </c>
      <c r="F76" s="5">
        <f>ROUND(Source!AY68,O76)</f>
        <v>0</v>
      </c>
      <c r="G76" s="5" t="s">
        <v>39</v>
      </c>
      <c r="H76" s="5" t="s">
        <v>40</v>
      </c>
      <c r="I76" s="5"/>
      <c r="J76" s="5"/>
      <c r="K76" s="5">
        <v>228</v>
      </c>
      <c r="L76" s="5">
        <v>7</v>
      </c>
      <c r="M76" s="5">
        <v>3</v>
      </c>
      <c r="N76" s="5" t="s">
        <v>4</v>
      </c>
      <c r="O76" s="5">
        <v>2</v>
      </c>
      <c r="P76" s="5">
        <f>ROUND(Source!EQ68,O76)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55">
      <c r="A77" s="5">
        <v>50</v>
      </c>
      <c r="B77" s="5">
        <v>0</v>
      </c>
      <c r="C77" s="5">
        <v>0</v>
      </c>
      <c r="D77" s="5">
        <v>1</v>
      </c>
      <c r="E77" s="5">
        <v>216</v>
      </c>
      <c r="F77" s="5">
        <f>ROUND(Source!AP68,O77)</f>
        <v>1104022.1200000001</v>
      </c>
      <c r="G77" s="5" t="s">
        <v>41</v>
      </c>
      <c r="H77" s="5" t="s">
        <v>42</v>
      </c>
      <c r="I77" s="5"/>
      <c r="J77" s="5"/>
      <c r="K77" s="5">
        <v>216</v>
      </c>
      <c r="L77" s="5">
        <v>8</v>
      </c>
      <c r="M77" s="5">
        <v>3</v>
      </c>
      <c r="N77" s="5" t="s">
        <v>4</v>
      </c>
      <c r="O77" s="5">
        <v>2</v>
      </c>
      <c r="P77" s="5">
        <f>ROUND(Source!EH68,O77)</f>
        <v>8026240.8099999996</v>
      </c>
      <c r="Q77" s="5"/>
      <c r="R77" s="5"/>
      <c r="S77" s="5"/>
      <c r="T77" s="5"/>
      <c r="U77" s="5"/>
      <c r="V77" s="5"/>
      <c r="W77" s="5">
        <v>1104022.1200000001</v>
      </c>
      <c r="X77" s="5">
        <v>1</v>
      </c>
      <c r="Y77" s="5">
        <v>1104022.1200000001</v>
      </c>
      <c r="Z77" s="5">
        <v>8026240.8099999996</v>
      </c>
      <c r="AA77" s="5">
        <v>1</v>
      </c>
      <c r="AB77" s="5">
        <v>8026240.8099999996</v>
      </c>
    </row>
    <row r="78" spans="1:255">
      <c r="A78" s="5">
        <v>50</v>
      </c>
      <c r="B78" s="5">
        <v>0</v>
      </c>
      <c r="C78" s="5">
        <v>0</v>
      </c>
      <c r="D78" s="5">
        <v>1</v>
      </c>
      <c r="E78" s="5">
        <v>223</v>
      </c>
      <c r="F78" s="5">
        <f>ROUND(Source!AQ68,O78)</f>
        <v>0</v>
      </c>
      <c r="G78" s="5" t="s">
        <v>43</v>
      </c>
      <c r="H78" s="5" t="s">
        <v>44</v>
      </c>
      <c r="I78" s="5"/>
      <c r="J78" s="5"/>
      <c r="K78" s="5">
        <v>223</v>
      </c>
      <c r="L78" s="5">
        <v>9</v>
      </c>
      <c r="M78" s="5">
        <v>3</v>
      </c>
      <c r="N78" s="5" t="s">
        <v>4</v>
      </c>
      <c r="O78" s="5">
        <v>2</v>
      </c>
      <c r="P78" s="5">
        <f>ROUND(Source!EI68,O78)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55">
      <c r="A79" s="5">
        <v>50</v>
      </c>
      <c r="B79" s="5">
        <v>0</v>
      </c>
      <c r="C79" s="5">
        <v>0</v>
      </c>
      <c r="D79" s="5">
        <v>1</v>
      </c>
      <c r="E79" s="5">
        <v>229</v>
      </c>
      <c r="F79" s="5">
        <f>ROUND(Source!AZ68,O79)</f>
        <v>1104022.1200000001</v>
      </c>
      <c r="G79" s="5" t="s">
        <v>45</v>
      </c>
      <c r="H79" s="5" t="s">
        <v>46</v>
      </c>
      <c r="I79" s="5"/>
      <c r="J79" s="5"/>
      <c r="K79" s="5">
        <v>229</v>
      </c>
      <c r="L79" s="5">
        <v>10</v>
      </c>
      <c r="M79" s="5">
        <v>3</v>
      </c>
      <c r="N79" s="5" t="s">
        <v>4</v>
      </c>
      <c r="O79" s="5">
        <v>2</v>
      </c>
      <c r="P79" s="5">
        <f>ROUND(Source!ER68,O79)</f>
        <v>8026240.8099999996</v>
      </c>
      <c r="Q79" s="5"/>
      <c r="R79" s="5"/>
      <c r="S79" s="5"/>
      <c r="T79" s="5"/>
      <c r="U79" s="5"/>
      <c r="V79" s="5"/>
      <c r="W79" s="5">
        <v>1104022.1200000001</v>
      </c>
      <c r="X79" s="5">
        <v>1</v>
      </c>
      <c r="Y79" s="5">
        <v>1104022.1200000001</v>
      </c>
      <c r="Z79" s="5">
        <v>8026240.8099999996</v>
      </c>
      <c r="AA79" s="5">
        <v>1</v>
      </c>
      <c r="AB79" s="5">
        <v>8026240.8099999996</v>
      </c>
    </row>
    <row r="80" spans="1:255">
      <c r="A80" s="5">
        <v>50</v>
      </c>
      <c r="B80" s="5">
        <v>0</v>
      </c>
      <c r="C80" s="5">
        <v>0</v>
      </c>
      <c r="D80" s="5">
        <v>1</v>
      </c>
      <c r="E80" s="5">
        <v>203</v>
      </c>
      <c r="F80" s="5">
        <f>ROUND(Source!Q68,O80)</f>
        <v>0</v>
      </c>
      <c r="G80" s="5" t="s">
        <v>47</v>
      </c>
      <c r="H80" s="5" t="s">
        <v>48</v>
      </c>
      <c r="I80" s="5"/>
      <c r="J80" s="5"/>
      <c r="K80" s="5">
        <v>203</v>
      </c>
      <c r="L80" s="5">
        <v>11</v>
      </c>
      <c r="M80" s="5">
        <v>3</v>
      </c>
      <c r="N80" s="5" t="s">
        <v>4</v>
      </c>
      <c r="O80" s="5">
        <v>2</v>
      </c>
      <c r="P80" s="5">
        <f>ROUND(Source!DI68,O80)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8">
      <c r="A81" s="5">
        <v>50</v>
      </c>
      <c r="B81" s="5">
        <v>0</v>
      </c>
      <c r="C81" s="5">
        <v>0</v>
      </c>
      <c r="D81" s="5">
        <v>1</v>
      </c>
      <c r="E81" s="5">
        <v>231</v>
      </c>
      <c r="F81" s="5">
        <f>ROUND(Source!BB68,O81)</f>
        <v>0</v>
      </c>
      <c r="G81" s="5" t="s">
        <v>49</v>
      </c>
      <c r="H81" s="5" t="s">
        <v>50</v>
      </c>
      <c r="I81" s="5"/>
      <c r="J81" s="5"/>
      <c r="K81" s="5">
        <v>231</v>
      </c>
      <c r="L81" s="5">
        <v>12</v>
      </c>
      <c r="M81" s="5">
        <v>3</v>
      </c>
      <c r="N81" s="5" t="s">
        <v>4</v>
      </c>
      <c r="O81" s="5">
        <v>2</v>
      </c>
      <c r="P81" s="5">
        <f>ROUND(Source!ET68,O81)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8">
      <c r="A82" s="5">
        <v>50</v>
      </c>
      <c r="B82" s="5">
        <v>0</v>
      </c>
      <c r="C82" s="5">
        <v>0</v>
      </c>
      <c r="D82" s="5">
        <v>1</v>
      </c>
      <c r="E82" s="5">
        <v>204</v>
      </c>
      <c r="F82" s="5">
        <f>ROUND(Source!R68,O82)</f>
        <v>0</v>
      </c>
      <c r="G82" s="5" t="s">
        <v>51</v>
      </c>
      <c r="H82" s="5" t="s">
        <v>52</v>
      </c>
      <c r="I82" s="5"/>
      <c r="J82" s="5"/>
      <c r="K82" s="5">
        <v>204</v>
      </c>
      <c r="L82" s="5">
        <v>13</v>
      </c>
      <c r="M82" s="5">
        <v>3</v>
      </c>
      <c r="N82" s="5" t="s">
        <v>4</v>
      </c>
      <c r="O82" s="5">
        <v>2</v>
      </c>
      <c r="P82" s="5">
        <f>ROUND(Source!DJ68,O82)</f>
        <v>0</v>
      </c>
      <c r="Q82" s="5"/>
      <c r="R82" s="5"/>
      <c r="S82" s="5"/>
      <c r="T82" s="5"/>
      <c r="U82" s="5"/>
      <c r="V82" s="5"/>
      <c r="W82" s="5">
        <v>0</v>
      </c>
      <c r="X82" s="5">
        <v>1</v>
      </c>
      <c r="Y82" s="5">
        <v>0</v>
      </c>
      <c r="Z82" s="5">
        <v>0</v>
      </c>
      <c r="AA82" s="5">
        <v>1</v>
      </c>
      <c r="AB82" s="5">
        <v>0</v>
      </c>
    </row>
    <row r="83" spans="1:28">
      <c r="A83" s="5">
        <v>50</v>
      </c>
      <c r="B83" s="5">
        <v>0</v>
      </c>
      <c r="C83" s="5">
        <v>0</v>
      </c>
      <c r="D83" s="5">
        <v>1</v>
      </c>
      <c r="E83" s="5">
        <v>205</v>
      </c>
      <c r="F83" s="5">
        <f>ROUND(Source!S68,O83)</f>
        <v>0</v>
      </c>
      <c r="G83" s="5" t="s">
        <v>53</v>
      </c>
      <c r="H83" s="5" t="s">
        <v>54</v>
      </c>
      <c r="I83" s="5"/>
      <c r="J83" s="5"/>
      <c r="K83" s="5">
        <v>205</v>
      </c>
      <c r="L83" s="5">
        <v>14</v>
      </c>
      <c r="M83" s="5">
        <v>3</v>
      </c>
      <c r="N83" s="5" t="s">
        <v>4</v>
      </c>
      <c r="O83" s="5">
        <v>2</v>
      </c>
      <c r="P83" s="5">
        <f>ROUND(Source!DK68,O83)</f>
        <v>0</v>
      </c>
      <c r="Q83" s="5"/>
      <c r="R83" s="5"/>
      <c r="S83" s="5"/>
      <c r="T83" s="5"/>
      <c r="U83" s="5"/>
      <c r="V83" s="5"/>
      <c r="W83" s="5">
        <v>0</v>
      </c>
      <c r="X83" s="5">
        <v>1</v>
      </c>
      <c r="Y83" s="5">
        <v>0</v>
      </c>
      <c r="Z83" s="5">
        <v>0</v>
      </c>
      <c r="AA83" s="5">
        <v>1</v>
      </c>
      <c r="AB83" s="5">
        <v>0</v>
      </c>
    </row>
    <row r="84" spans="1:28">
      <c r="A84" s="5">
        <v>50</v>
      </c>
      <c r="B84" s="5">
        <v>0</v>
      </c>
      <c r="C84" s="5">
        <v>0</v>
      </c>
      <c r="D84" s="5">
        <v>1</v>
      </c>
      <c r="E84" s="5">
        <v>232</v>
      </c>
      <c r="F84" s="5">
        <f>ROUND(Source!BC68,O84)</f>
        <v>0</v>
      </c>
      <c r="G84" s="5" t="s">
        <v>55</v>
      </c>
      <c r="H84" s="5" t="s">
        <v>56</v>
      </c>
      <c r="I84" s="5"/>
      <c r="J84" s="5"/>
      <c r="K84" s="5">
        <v>232</v>
      </c>
      <c r="L84" s="5">
        <v>15</v>
      </c>
      <c r="M84" s="5">
        <v>3</v>
      </c>
      <c r="N84" s="5" t="s">
        <v>4</v>
      </c>
      <c r="O84" s="5">
        <v>2</v>
      </c>
      <c r="P84" s="5">
        <f>ROUND(Source!EU68,O84)</f>
        <v>0</v>
      </c>
      <c r="Q84" s="5"/>
      <c r="R84" s="5"/>
      <c r="S84" s="5"/>
      <c r="T84" s="5"/>
      <c r="U84" s="5"/>
      <c r="V84" s="5"/>
      <c r="W84" s="5">
        <v>0</v>
      </c>
      <c r="X84" s="5">
        <v>1</v>
      </c>
      <c r="Y84" s="5">
        <v>0</v>
      </c>
      <c r="Z84" s="5">
        <v>0</v>
      </c>
      <c r="AA84" s="5">
        <v>1</v>
      </c>
      <c r="AB84" s="5">
        <v>0</v>
      </c>
    </row>
    <row r="85" spans="1:28">
      <c r="A85" s="5">
        <v>50</v>
      </c>
      <c r="B85" s="5">
        <v>0</v>
      </c>
      <c r="C85" s="5">
        <v>0</v>
      </c>
      <c r="D85" s="5">
        <v>1</v>
      </c>
      <c r="E85" s="5">
        <v>214</v>
      </c>
      <c r="F85" s="5">
        <f>ROUND(Source!AS68,O85)</f>
        <v>0</v>
      </c>
      <c r="G85" s="5" t="s">
        <v>57</v>
      </c>
      <c r="H85" s="5" t="s">
        <v>58</v>
      </c>
      <c r="I85" s="5"/>
      <c r="J85" s="5"/>
      <c r="K85" s="5">
        <v>214</v>
      </c>
      <c r="L85" s="5">
        <v>16</v>
      </c>
      <c r="M85" s="5">
        <v>3</v>
      </c>
      <c r="N85" s="5" t="s">
        <v>4</v>
      </c>
      <c r="O85" s="5">
        <v>2</v>
      </c>
      <c r="P85" s="5">
        <f>ROUND(Source!EK68,O85)</f>
        <v>0</v>
      </c>
      <c r="Q85" s="5"/>
      <c r="R85" s="5"/>
      <c r="S85" s="5"/>
      <c r="T85" s="5"/>
      <c r="U85" s="5"/>
      <c r="V85" s="5"/>
      <c r="W85" s="5">
        <v>0</v>
      </c>
      <c r="X85" s="5">
        <v>1</v>
      </c>
      <c r="Y85" s="5">
        <v>0</v>
      </c>
      <c r="Z85" s="5">
        <v>0</v>
      </c>
      <c r="AA85" s="5">
        <v>1</v>
      </c>
      <c r="AB85" s="5">
        <v>0</v>
      </c>
    </row>
    <row r="86" spans="1:28">
      <c r="A86" s="5">
        <v>50</v>
      </c>
      <c r="B86" s="5">
        <v>0</v>
      </c>
      <c r="C86" s="5">
        <v>0</v>
      </c>
      <c r="D86" s="5">
        <v>1</v>
      </c>
      <c r="E86" s="5">
        <v>215</v>
      </c>
      <c r="F86" s="5">
        <f>ROUND(Source!AT68,O86)</f>
        <v>0</v>
      </c>
      <c r="G86" s="5" t="s">
        <v>59</v>
      </c>
      <c r="H86" s="5" t="s">
        <v>60</v>
      </c>
      <c r="I86" s="5"/>
      <c r="J86" s="5"/>
      <c r="K86" s="5">
        <v>215</v>
      </c>
      <c r="L86" s="5">
        <v>17</v>
      </c>
      <c r="M86" s="5">
        <v>3</v>
      </c>
      <c r="N86" s="5" t="s">
        <v>4</v>
      </c>
      <c r="O86" s="5">
        <v>2</v>
      </c>
      <c r="P86" s="5">
        <f>ROUND(Source!EL68,O86)</f>
        <v>0</v>
      </c>
      <c r="Q86" s="5"/>
      <c r="R86" s="5"/>
      <c r="S86" s="5"/>
      <c r="T86" s="5"/>
      <c r="U86" s="5"/>
      <c r="V86" s="5"/>
      <c r="W86" s="5">
        <v>0</v>
      </c>
      <c r="X86" s="5">
        <v>1</v>
      </c>
      <c r="Y86" s="5">
        <v>0</v>
      </c>
      <c r="Z86" s="5">
        <v>0</v>
      </c>
      <c r="AA86" s="5">
        <v>1</v>
      </c>
      <c r="AB86" s="5">
        <v>0</v>
      </c>
    </row>
    <row r="87" spans="1:28">
      <c r="A87" s="5">
        <v>50</v>
      </c>
      <c r="B87" s="5">
        <v>0</v>
      </c>
      <c r="C87" s="5">
        <v>0</v>
      </c>
      <c r="D87" s="5">
        <v>1</v>
      </c>
      <c r="E87" s="5">
        <v>217</v>
      </c>
      <c r="F87" s="5">
        <f>ROUND(Source!AU68,O87)</f>
        <v>0</v>
      </c>
      <c r="G87" s="5" t="s">
        <v>61</v>
      </c>
      <c r="H87" s="5" t="s">
        <v>62</v>
      </c>
      <c r="I87" s="5"/>
      <c r="J87" s="5"/>
      <c r="K87" s="5">
        <v>217</v>
      </c>
      <c r="L87" s="5">
        <v>18</v>
      </c>
      <c r="M87" s="5">
        <v>3</v>
      </c>
      <c r="N87" s="5" t="s">
        <v>4</v>
      </c>
      <c r="O87" s="5">
        <v>2</v>
      </c>
      <c r="P87" s="5">
        <f>ROUND(Source!EM68,O87)</f>
        <v>0</v>
      </c>
      <c r="Q87" s="5"/>
      <c r="R87" s="5"/>
      <c r="S87" s="5"/>
      <c r="T87" s="5"/>
      <c r="U87" s="5"/>
      <c r="V87" s="5"/>
      <c r="W87" s="5">
        <v>0</v>
      </c>
      <c r="X87" s="5">
        <v>1</v>
      </c>
      <c r="Y87" s="5">
        <v>0</v>
      </c>
      <c r="Z87" s="5">
        <v>0</v>
      </c>
      <c r="AA87" s="5">
        <v>1</v>
      </c>
      <c r="AB87" s="5">
        <v>0</v>
      </c>
    </row>
    <row r="88" spans="1:28">
      <c r="A88" s="5">
        <v>50</v>
      </c>
      <c r="B88" s="5">
        <v>0</v>
      </c>
      <c r="C88" s="5">
        <v>0</v>
      </c>
      <c r="D88" s="5">
        <v>1</v>
      </c>
      <c r="E88" s="5">
        <v>230</v>
      </c>
      <c r="F88" s="5">
        <f>ROUND(Source!BA68,O88)</f>
        <v>0</v>
      </c>
      <c r="G88" s="5" t="s">
        <v>63</v>
      </c>
      <c r="H88" s="5" t="s">
        <v>64</v>
      </c>
      <c r="I88" s="5"/>
      <c r="J88" s="5"/>
      <c r="K88" s="5">
        <v>230</v>
      </c>
      <c r="L88" s="5">
        <v>19</v>
      </c>
      <c r="M88" s="5">
        <v>3</v>
      </c>
      <c r="N88" s="5" t="s">
        <v>4</v>
      </c>
      <c r="O88" s="5">
        <v>2</v>
      </c>
      <c r="P88" s="5">
        <f>ROUND(Source!ES68,O88)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8">
      <c r="A89" s="5">
        <v>50</v>
      </c>
      <c r="B89" s="5">
        <v>0</v>
      </c>
      <c r="C89" s="5">
        <v>0</v>
      </c>
      <c r="D89" s="5">
        <v>1</v>
      </c>
      <c r="E89" s="5">
        <v>206</v>
      </c>
      <c r="F89" s="5">
        <f>ROUND(Source!T68,O89)</f>
        <v>0</v>
      </c>
      <c r="G89" s="5" t="s">
        <v>65</v>
      </c>
      <c r="H89" s="5" t="s">
        <v>66</v>
      </c>
      <c r="I89" s="5"/>
      <c r="J89" s="5"/>
      <c r="K89" s="5">
        <v>206</v>
      </c>
      <c r="L89" s="5">
        <v>20</v>
      </c>
      <c r="M89" s="5">
        <v>3</v>
      </c>
      <c r="N89" s="5" t="s">
        <v>4</v>
      </c>
      <c r="O89" s="5">
        <v>2</v>
      </c>
      <c r="P89" s="5">
        <f>ROUND(Source!DL68,O89)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8">
      <c r="A90" s="5">
        <v>50</v>
      </c>
      <c r="B90" s="5">
        <v>0</v>
      </c>
      <c r="C90" s="5">
        <v>0</v>
      </c>
      <c r="D90" s="5">
        <v>1</v>
      </c>
      <c r="E90" s="5">
        <v>207</v>
      </c>
      <c r="F90" s="5">
        <f>Source!U68</f>
        <v>0</v>
      </c>
      <c r="G90" s="5" t="s">
        <v>67</v>
      </c>
      <c r="H90" s="5" t="s">
        <v>68</v>
      </c>
      <c r="I90" s="5"/>
      <c r="J90" s="5"/>
      <c r="K90" s="5">
        <v>207</v>
      </c>
      <c r="L90" s="5">
        <v>21</v>
      </c>
      <c r="M90" s="5">
        <v>3</v>
      </c>
      <c r="N90" s="5" t="s">
        <v>4</v>
      </c>
      <c r="O90" s="5">
        <v>-1</v>
      </c>
      <c r="P90" s="5">
        <f>Source!DM68</f>
        <v>0</v>
      </c>
      <c r="Q90" s="5"/>
      <c r="R90" s="5"/>
      <c r="S90" s="5"/>
      <c r="T90" s="5"/>
      <c r="U90" s="5"/>
      <c r="V90" s="5"/>
      <c r="W90" s="5">
        <v>0</v>
      </c>
      <c r="X90" s="5">
        <v>1</v>
      </c>
      <c r="Y90" s="5">
        <v>0</v>
      </c>
      <c r="Z90" s="5">
        <v>0</v>
      </c>
      <c r="AA90" s="5">
        <v>1</v>
      </c>
      <c r="AB90" s="5">
        <v>0</v>
      </c>
    </row>
    <row r="91" spans="1:28">
      <c r="A91" s="5">
        <v>50</v>
      </c>
      <c r="B91" s="5">
        <v>0</v>
      </c>
      <c r="C91" s="5">
        <v>0</v>
      </c>
      <c r="D91" s="5">
        <v>1</v>
      </c>
      <c r="E91" s="5">
        <v>208</v>
      </c>
      <c r="F91" s="5">
        <f>Source!V68</f>
        <v>0</v>
      </c>
      <c r="G91" s="5" t="s">
        <v>69</v>
      </c>
      <c r="H91" s="5" t="s">
        <v>70</v>
      </c>
      <c r="I91" s="5"/>
      <c r="J91" s="5"/>
      <c r="K91" s="5">
        <v>208</v>
      </c>
      <c r="L91" s="5">
        <v>22</v>
      </c>
      <c r="M91" s="5">
        <v>3</v>
      </c>
      <c r="N91" s="5" t="s">
        <v>4</v>
      </c>
      <c r="O91" s="5">
        <v>-1</v>
      </c>
      <c r="P91" s="5">
        <f>Source!DN68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8">
      <c r="A92" s="5">
        <v>50</v>
      </c>
      <c r="B92" s="5">
        <v>0</v>
      </c>
      <c r="C92" s="5">
        <v>0</v>
      </c>
      <c r="D92" s="5">
        <v>1</v>
      </c>
      <c r="E92" s="5">
        <v>209</v>
      </c>
      <c r="F92" s="5">
        <f>ROUND(Source!W68,O92)</f>
        <v>0</v>
      </c>
      <c r="G92" s="5" t="s">
        <v>71</v>
      </c>
      <c r="H92" s="5" t="s">
        <v>72</v>
      </c>
      <c r="I92" s="5"/>
      <c r="J92" s="5"/>
      <c r="K92" s="5">
        <v>209</v>
      </c>
      <c r="L92" s="5">
        <v>23</v>
      </c>
      <c r="M92" s="5">
        <v>3</v>
      </c>
      <c r="N92" s="5" t="s">
        <v>4</v>
      </c>
      <c r="O92" s="5">
        <v>2</v>
      </c>
      <c r="P92" s="5">
        <f>ROUND(Source!DO68,O92)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8">
      <c r="A93" s="5">
        <v>50</v>
      </c>
      <c r="B93" s="5">
        <v>0</v>
      </c>
      <c r="C93" s="5">
        <v>0</v>
      </c>
      <c r="D93" s="5">
        <v>1</v>
      </c>
      <c r="E93" s="5">
        <v>233</v>
      </c>
      <c r="F93" s="5">
        <f>ROUND(Source!BD68,O93)</f>
        <v>0</v>
      </c>
      <c r="G93" s="5" t="s">
        <v>73</v>
      </c>
      <c r="H93" s="5" t="s">
        <v>74</v>
      </c>
      <c r="I93" s="5"/>
      <c r="J93" s="5"/>
      <c r="K93" s="5">
        <v>233</v>
      </c>
      <c r="L93" s="5">
        <v>24</v>
      </c>
      <c r="M93" s="5">
        <v>3</v>
      </c>
      <c r="N93" s="5" t="s">
        <v>4</v>
      </c>
      <c r="O93" s="5">
        <v>2</v>
      </c>
      <c r="P93" s="5">
        <f>ROUND(Source!EV68,O93)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8">
      <c r="A94" s="5">
        <v>50</v>
      </c>
      <c r="B94" s="5">
        <v>0</v>
      </c>
      <c r="C94" s="5">
        <v>0</v>
      </c>
      <c r="D94" s="5">
        <v>1</v>
      </c>
      <c r="E94" s="5">
        <v>210</v>
      </c>
      <c r="F94" s="5">
        <f>ROUND(Source!X68,O94)</f>
        <v>0</v>
      </c>
      <c r="G94" s="5" t="s">
        <v>75</v>
      </c>
      <c r="H94" s="5" t="s">
        <v>76</v>
      </c>
      <c r="I94" s="5"/>
      <c r="J94" s="5"/>
      <c r="K94" s="5">
        <v>210</v>
      </c>
      <c r="L94" s="5">
        <v>25</v>
      </c>
      <c r="M94" s="5">
        <v>3</v>
      </c>
      <c r="N94" s="5" t="s">
        <v>4</v>
      </c>
      <c r="O94" s="5">
        <v>2</v>
      </c>
      <c r="P94" s="5">
        <f>ROUND(Source!DP68,O94)</f>
        <v>0</v>
      </c>
      <c r="Q94" s="5"/>
      <c r="R94" s="5"/>
      <c r="S94" s="5"/>
      <c r="T94" s="5"/>
      <c r="U94" s="5"/>
      <c r="V94" s="5"/>
      <c r="W94" s="5">
        <v>0</v>
      </c>
      <c r="X94" s="5">
        <v>1</v>
      </c>
      <c r="Y94" s="5">
        <v>0</v>
      </c>
      <c r="Z94" s="5">
        <v>0</v>
      </c>
      <c r="AA94" s="5">
        <v>1</v>
      </c>
      <c r="AB94" s="5">
        <v>0</v>
      </c>
    </row>
    <row r="95" spans="1:28">
      <c r="A95" s="5">
        <v>50</v>
      </c>
      <c r="B95" s="5">
        <v>0</v>
      </c>
      <c r="C95" s="5">
        <v>0</v>
      </c>
      <c r="D95" s="5">
        <v>1</v>
      </c>
      <c r="E95" s="5">
        <v>211</v>
      </c>
      <c r="F95" s="5">
        <f>ROUND(Source!Y68,O95)</f>
        <v>0</v>
      </c>
      <c r="G95" s="5" t="s">
        <v>77</v>
      </c>
      <c r="H95" s="5" t="s">
        <v>78</v>
      </c>
      <c r="I95" s="5"/>
      <c r="J95" s="5"/>
      <c r="K95" s="5">
        <v>211</v>
      </c>
      <c r="L95" s="5">
        <v>26</v>
      </c>
      <c r="M95" s="5">
        <v>3</v>
      </c>
      <c r="N95" s="5" t="s">
        <v>4</v>
      </c>
      <c r="O95" s="5">
        <v>2</v>
      </c>
      <c r="P95" s="5">
        <f>ROUND(Source!DQ68,O95)</f>
        <v>0</v>
      </c>
      <c r="Q95" s="5"/>
      <c r="R95" s="5"/>
      <c r="S95" s="5"/>
      <c r="T95" s="5"/>
      <c r="U95" s="5"/>
      <c r="V95" s="5"/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</row>
    <row r="96" spans="1:28">
      <c r="A96" s="5">
        <v>50</v>
      </c>
      <c r="B96" s="5">
        <v>0</v>
      </c>
      <c r="C96" s="5">
        <v>0</v>
      </c>
      <c r="D96" s="5">
        <v>1</v>
      </c>
      <c r="E96" s="5">
        <v>224</v>
      </c>
      <c r="F96" s="5">
        <f>ROUND(Source!AR68,O96)</f>
        <v>1104022.1200000001</v>
      </c>
      <c r="G96" s="5" t="s">
        <v>79</v>
      </c>
      <c r="H96" s="5" t="s">
        <v>80</v>
      </c>
      <c r="I96" s="5"/>
      <c r="J96" s="5"/>
      <c r="K96" s="5">
        <v>224</v>
      </c>
      <c r="L96" s="5">
        <v>27</v>
      </c>
      <c r="M96" s="5">
        <v>3</v>
      </c>
      <c r="N96" s="5" t="s">
        <v>4</v>
      </c>
      <c r="O96" s="5">
        <v>2</v>
      </c>
      <c r="P96" s="5">
        <f>ROUND(Source!EJ68,O96)</f>
        <v>8026240.8099999996</v>
      </c>
      <c r="Q96" s="5"/>
      <c r="R96" s="5"/>
      <c r="S96" s="5"/>
      <c r="T96" s="5"/>
      <c r="U96" s="5"/>
      <c r="V96" s="5"/>
      <c r="W96" s="5">
        <v>1104022.1200000001</v>
      </c>
      <c r="X96" s="5">
        <v>1</v>
      </c>
      <c r="Y96" s="5">
        <v>1104022.1200000001</v>
      </c>
      <c r="Z96" s="5">
        <v>8026240.8099999996</v>
      </c>
      <c r="AA96" s="5">
        <v>1</v>
      </c>
      <c r="AB96" s="5">
        <v>8026240.8099999996</v>
      </c>
    </row>
    <row r="98" spans="1:206">
      <c r="A98" s="3">
        <v>51</v>
      </c>
      <c r="B98" s="3">
        <f>B20</f>
        <v>1</v>
      </c>
      <c r="C98" s="3">
        <f>A20</f>
        <v>3</v>
      </c>
      <c r="D98" s="3">
        <f>ROW(A20)</f>
        <v>20</v>
      </c>
      <c r="E98" s="3"/>
      <c r="F98" s="3" t="str">
        <f>IF(F20&lt;&gt;"",F20,"")</f>
        <v>02-01-04</v>
      </c>
      <c r="G98" s="3" t="str">
        <f>IF(G20&lt;&gt;"",G20,"")</f>
        <v>Реконструкция ТП 27616</v>
      </c>
      <c r="H98" s="3">
        <v>0</v>
      </c>
      <c r="I98" s="3"/>
      <c r="J98" s="3"/>
      <c r="K98" s="3"/>
      <c r="L98" s="3"/>
      <c r="M98" s="3"/>
      <c r="N98" s="3"/>
      <c r="O98" s="3">
        <f t="shared" ref="O98:T98" si="36">ROUND(O31+O68+AB98,2)</f>
        <v>1106481.08</v>
      </c>
      <c r="P98" s="3">
        <f t="shared" si="36"/>
        <v>1104196.56</v>
      </c>
      <c r="Q98" s="3">
        <f t="shared" si="36"/>
        <v>1523.43</v>
      </c>
      <c r="R98" s="3">
        <f t="shared" si="36"/>
        <v>409.15</v>
      </c>
      <c r="S98" s="3">
        <f t="shared" si="36"/>
        <v>761.09</v>
      </c>
      <c r="T98" s="3">
        <f t="shared" si="36"/>
        <v>0</v>
      </c>
      <c r="U98" s="3">
        <f>U31+U68+AH98</f>
        <v>60.307199999999995</v>
      </c>
      <c r="V98" s="3">
        <f>V31+V68+AI98</f>
        <v>0</v>
      </c>
      <c r="W98" s="3">
        <f>ROUND(W31+W68+AJ98,2)</f>
        <v>0</v>
      </c>
      <c r="X98" s="3">
        <f>ROUND(X31+X68+AK98,2)</f>
        <v>852.42</v>
      </c>
      <c r="Y98" s="3">
        <f>ROUND(Y31+Y68+AL98,2)</f>
        <v>532.76</v>
      </c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>
        <f t="shared" ref="AO98:BD98" si="37">ROUND(AO31+AO68+BX98,2)</f>
        <v>0</v>
      </c>
      <c r="AP98" s="3">
        <f t="shared" si="37"/>
        <v>1104022.1200000001</v>
      </c>
      <c r="AQ98" s="3">
        <f t="shared" si="37"/>
        <v>0</v>
      </c>
      <c r="AR98" s="3">
        <f t="shared" si="37"/>
        <v>1108582.27</v>
      </c>
      <c r="AS98" s="3">
        <f t="shared" si="37"/>
        <v>0</v>
      </c>
      <c r="AT98" s="3">
        <f t="shared" si="37"/>
        <v>4560.1499999999996</v>
      </c>
      <c r="AU98" s="3">
        <f t="shared" si="37"/>
        <v>0</v>
      </c>
      <c r="AV98" s="3">
        <f t="shared" si="37"/>
        <v>1104196.56</v>
      </c>
      <c r="AW98" s="3">
        <f t="shared" si="37"/>
        <v>174.44</v>
      </c>
      <c r="AX98" s="3">
        <f t="shared" si="37"/>
        <v>0</v>
      </c>
      <c r="AY98" s="3">
        <f t="shared" si="37"/>
        <v>174.44</v>
      </c>
      <c r="AZ98" s="3">
        <f t="shared" si="37"/>
        <v>1104022.1200000001</v>
      </c>
      <c r="BA98" s="3">
        <f t="shared" si="37"/>
        <v>0</v>
      </c>
      <c r="BB98" s="3">
        <f t="shared" si="37"/>
        <v>0</v>
      </c>
      <c r="BC98" s="3">
        <f t="shared" si="37"/>
        <v>0</v>
      </c>
      <c r="BD98" s="3">
        <f t="shared" si="37"/>
        <v>0</v>
      </c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4">
        <f t="shared" ref="DG98:DL98" si="38">ROUND(DG31+DG68+DT98,2)</f>
        <v>8096278.2400000002</v>
      </c>
      <c r="DH98" s="4">
        <f t="shared" si="38"/>
        <v>8030975.1100000003</v>
      </c>
      <c r="DI98" s="4">
        <f t="shared" si="38"/>
        <v>29783.06</v>
      </c>
      <c r="DJ98" s="4">
        <f t="shared" si="38"/>
        <v>19095.03</v>
      </c>
      <c r="DK98" s="4">
        <f t="shared" si="38"/>
        <v>35520.07</v>
      </c>
      <c r="DL98" s="4">
        <f t="shared" si="38"/>
        <v>0</v>
      </c>
      <c r="DM98" s="4">
        <f>DM31+DM68+DZ98</f>
        <v>60.307199999999995</v>
      </c>
      <c r="DN98" s="4">
        <f>DN31+DN68+EA98</f>
        <v>0</v>
      </c>
      <c r="DO98" s="4">
        <f>ROUND(DO31+DO68+EB98,2)</f>
        <v>0</v>
      </c>
      <c r="DP98" s="4">
        <f>ROUND(DP31+DP68+EC98,2)</f>
        <v>32678.46</v>
      </c>
      <c r="DQ98" s="4">
        <f>ROUND(DQ31+DQ68+ED98,2)</f>
        <v>15273.63</v>
      </c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>
        <f t="shared" ref="EG98:EV98" si="39">ROUND(EG31+EG68+FP98,2)</f>
        <v>0</v>
      </c>
      <c r="EH98" s="4">
        <f t="shared" si="39"/>
        <v>8026240.8099999996</v>
      </c>
      <c r="EI98" s="4">
        <f t="shared" si="39"/>
        <v>0</v>
      </c>
      <c r="EJ98" s="4">
        <f t="shared" si="39"/>
        <v>8174782.3799999999</v>
      </c>
      <c r="EK98" s="4">
        <f t="shared" si="39"/>
        <v>0</v>
      </c>
      <c r="EL98" s="4">
        <f t="shared" si="39"/>
        <v>148541.57</v>
      </c>
      <c r="EM98" s="4">
        <f t="shared" si="39"/>
        <v>0</v>
      </c>
      <c r="EN98" s="4">
        <f t="shared" si="39"/>
        <v>8030975.1100000003</v>
      </c>
      <c r="EO98" s="4">
        <f t="shared" si="39"/>
        <v>4734.3</v>
      </c>
      <c r="EP98" s="4">
        <f t="shared" si="39"/>
        <v>0</v>
      </c>
      <c r="EQ98" s="4">
        <f t="shared" si="39"/>
        <v>4734.3</v>
      </c>
      <c r="ER98" s="4">
        <f t="shared" si="39"/>
        <v>8026240.8099999996</v>
      </c>
      <c r="ES98" s="4">
        <f t="shared" si="39"/>
        <v>0</v>
      </c>
      <c r="ET98" s="4">
        <f t="shared" si="39"/>
        <v>0</v>
      </c>
      <c r="EU98" s="4">
        <f t="shared" si="39"/>
        <v>0</v>
      </c>
      <c r="EV98" s="4">
        <f t="shared" si="39"/>
        <v>0</v>
      </c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>
        <v>0</v>
      </c>
    </row>
    <row r="100" spans="1:206">
      <c r="A100" s="5">
        <v>50</v>
      </c>
      <c r="B100" s="5">
        <v>0</v>
      </c>
      <c r="C100" s="5">
        <v>0</v>
      </c>
      <c r="D100" s="5">
        <v>1</v>
      </c>
      <c r="E100" s="5">
        <v>201</v>
      </c>
      <c r="F100" s="5">
        <f>ROUND(Source!O98,O100)</f>
        <v>1106481.08</v>
      </c>
      <c r="G100" s="5" t="s">
        <v>27</v>
      </c>
      <c r="H100" s="5" t="s">
        <v>28</v>
      </c>
      <c r="I100" s="5"/>
      <c r="J100" s="5"/>
      <c r="K100" s="5">
        <v>201</v>
      </c>
      <c r="L100" s="5">
        <v>1</v>
      </c>
      <c r="M100" s="5">
        <v>3</v>
      </c>
      <c r="N100" s="5" t="s">
        <v>4</v>
      </c>
      <c r="O100" s="5">
        <v>2</v>
      </c>
      <c r="P100" s="5">
        <f>ROUND(Source!DG98,O100)</f>
        <v>8096278.2400000002</v>
      </c>
      <c r="Q100" s="5"/>
      <c r="R100" s="5"/>
      <c r="S100" s="5"/>
      <c r="T100" s="5"/>
      <c r="U100" s="5"/>
      <c r="V100" s="5"/>
      <c r="W100" s="5">
        <v>1106481.08</v>
      </c>
      <c r="X100" s="5">
        <v>1</v>
      </c>
      <c r="Y100" s="5">
        <v>1106481.08</v>
      </c>
      <c r="Z100" s="5">
        <v>8096278.2400000002</v>
      </c>
      <c r="AA100" s="5">
        <v>1</v>
      </c>
      <c r="AB100" s="5">
        <v>8096278.2400000002</v>
      </c>
    </row>
    <row r="101" spans="1:206">
      <c r="A101" s="5">
        <v>50</v>
      </c>
      <c r="B101" s="5">
        <v>0</v>
      </c>
      <c r="C101" s="5">
        <v>0</v>
      </c>
      <c r="D101" s="5">
        <v>1</v>
      </c>
      <c r="E101" s="5">
        <v>202</v>
      </c>
      <c r="F101" s="5">
        <f>ROUND(Source!P98,O101)</f>
        <v>1104196.56</v>
      </c>
      <c r="G101" s="5" t="s">
        <v>29</v>
      </c>
      <c r="H101" s="5" t="s">
        <v>30</v>
      </c>
      <c r="I101" s="5"/>
      <c r="J101" s="5"/>
      <c r="K101" s="5">
        <v>202</v>
      </c>
      <c r="L101" s="5">
        <v>2</v>
      </c>
      <c r="M101" s="5">
        <v>3</v>
      </c>
      <c r="N101" s="5" t="s">
        <v>4</v>
      </c>
      <c r="O101" s="5">
        <v>2</v>
      </c>
      <c r="P101" s="5">
        <f>ROUND(Source!DH98,O101)</f>
        <v>8030975.1100000003</v>
      </c>
      <c r="Q101" s="5"/>
      <c r="R101" s="5"/>
      <c r="S101" s="5"/>
      <c r="T101" s="5"/>
      <c r="U101" s="5"/>
      <c r="V101" s="5"/>
      <c r="W101" s="5">
        <v>1104196.56</v>
      </c>
      <c r="X101" s="5">
        <v>1</v>
      </c>
      <c r="Y101" s="5">
        <v>1104196.56</v>
      </c>
      <c r="Z101" s="5">
        <v>8030975.1100000003</v>
      </c>
      <c r="AA101" s="5">
        <v>1</v>
      </c>
      <c r="AB101" s="5">
        <v>8030975.1100000003</v>
      </c>
    </row>
    <row r="102" spans="1:206">
      <c r="A102" s="5">
        <v>50</v>
      </c>
      <c r="B102" s="5">
        <v>0</v>
      </c>
      <c r="C102" s="5">
        <v>0</v>
      </c>
      <c r="D102" s="5">
        <v>1</v>
      </c>
      <c r="E102" s="5">
        <v>222</v>
      </c>
      <c r="F102" s="5">
        <f>ROUND(Source!AO98,O102)</f>
        <v>0</v>
      </c>
      <c r="G102" s="5" t="s">
        <v>31</v>
      </c>
      <c r="H102" s="5" t="s">
        <v>32</v>
      </c>
      <c r="I102" s="5"/>
      <c r="J102" s="5"/>
      <c r="K102" s="5">
        <v>222</v>
      </c>
      <c r="L102" s="5">
        <v>3</v>
      </c>
      <c r="M102" s="5">
        <v>3</v>
      </c>
      <c r="N102" s="5" t="s">
        <v>4</v>
      </c>
      <c r="O102" s="5">
        <v>2</v>
      </c>
      <c r="P102" s="5">
        <f>ROUND(Source!EG98,O102)</f>
        <v>0</v>
      </c>
      <c r="Q102" s="5"/>
      <c r="R102" s="5"/>
      <c r="S102" s="5"/>
      <c r="T102" s="5"/>
      <c r="U102" s="5"/>
      <c r="V102" s="5"/>
      <c r="W102" s="5">
        <v>0</v>
      </c>
      <c r="X102" s="5">
        <v>1</v>
      </c>
      <c r="Y102" s="5">
        <v>0</v>
      </c>
      <c r="Z102" s="5">
        <v>0</v>
      </c>
      <c r="AA102" s="5">
        <v>1</v>
      </c>
      <c r="AB102" s="5">
        <v>0</v>
      </c>
    </row>
    <row r="103" spans="1:206">
      <c r="A103" s="5">
        <v>50</v>
      </c>
      <c r="B103" s="5">
        <v>0</v>
      </c>
      <c r="C103" s="5">
        <v>0</v>
      </c>
      <c r="D103" s="5">
        <v>1</v>
      </c>
      <c r="E103" s="5">
        <v>225</v>
      </c>
      <c r="F103" s="5">
        <f>ROUND(Source!AV98,O103)</f>
        <v>1104196.56</v>
      </c>
      <c r="G103" s="5" t="s">
        <v>33</v>
      </c>
      <c r="H103" s="5" t="s">
        <v>34</v>
      </c>
      <c r="I103" s="5"/>
      <c r="J103" s="5"/>
      <c r="K103" s="5">
        <v>225</v>
      </c>
      <c r="L103" s="5">
        <v>4</v>
      </c>
      <c r="M103" s="5">
        <v>3</v>
      </c>
      <c r="N103" s="5" t="s">
        <v>4</v>
      </c>
      <c r="O103" s="5">
        <v>2</v>
      </c>
      <c r="P103" s="5">
        <f>ROUND(Source!EN98,O103)</f>
        <v>8030975.1100000003</v>
      </c>
      <c r="Q103" s="5"/>
      <c r="R103" s="5"/>
      <c r="S103" s="5"/>
      <c r="T103" s="5"/>
      <c r="U103" s="5"/>
      <c r="V103" s="5"/>
      <c r="W103" s="5">
        <v>1104196.56</v>
      </c>
      <c r="X103" s="5">
        <v>1</v>
      </c>
      <c r="Y103" s="5">
        <v>1104196.56</v>
      </c>
      <c r="Z103" s="5">
        <v>8030975.1100000003</v>
      </c>
      <c r="AA103" s="5">
        <v>1</v>
      </c>
      <c r="AB103" s="5">
        <v>8030975.1100000003</v>
      </c>
    </row>
    <row r="104" spans="1:206">
      <c r="A104" s="5">
        <v>50</v>
      </c>
      <c r="B104" s="5">
        <v>0</v>
      </c>
      <c r="C104" s="5">
        <v>0</v>
      </c>
      <c r="D104" s="5">
        <v>1</v>
      </c>
      <c r="E104" s="5">
        <v>226</v>
      </c>
      <c r="F104" s="5">
        <f>ROUND(Source!AW98,O104)</f>
        <v>174.44</v>
      </c>
      <c r="G104" s="5" t="s">
        <v>35</v>
      </c>
      <c r="H104" s="5" t="s">
        <v>36</v>
      </c>
      <c r="I104" s="5"/>
      <c r="J104" s="5"/>
      <c r="K104" s="5">
        <v>226</v>
      </c>
      <c r="L104" s="5">
        <v>5</v>
      </c>
      <c r="M104" s="5">
        <v>3</v>
      </c>
      <c r="N104" s="5" t="s">
        <v>4</v>
      </c>
      <c r="O104" s="5">
        <v>2</v>
      </c>
      <c r="P104" s="5">
        <f>ROUND(Source!EO98,O104)</f>
        <v>4734.3</v>
      </c>
      <c r="Q104" s="5"/>
      <c r="R104" s="5"/>
      <c r="S104" s="5"/>
      <c r="T104" s="5"/>
      <c r="U104" s="5"/>
      <c r="V104" s="5"/>
      <c r="W104" s="5">
        <v>174.44</v>
      </c>
      <c r="X104" s="5">
        <v>1</v>
      </c>
      <c r="Y104" s="5">
        <v>174.44</v>
      </c>
      <c r="Z104" s="5">
        <v>4734.3</v>
      </c>
      <c r="AA104" s="5">
        <v>1</v>
      </c>
      <c r="AB104" s="5">
        <v>4734.3</v>
      </c>
    </row>
    <row r="105" spans="1:206">
      <c r="A105" s="5">
        <v>50</v>
      </c>
      <c r="B105" s="5">
        <v>0</v>
      </c>
      <c r="C105" s="5">
        <v>0</v>
      </c>
      <c r="D105" s="5">
        <v>1</v>
      </c>
      <c r="E105" s="5">
        <v>227</v>
      </c>
      <c r="F105" s="5">
        <f>ROUND(Source!AX98,O105)</f>
        <v>0</v>
      </c>
      <c r="G105" s="5" t="s">
        <v>37</v>
      </c>
      <c r="H105" s="5" t="s">
        <v>38</v>
      </c>
      <c r="I105" s="5"/>
      <c r="J105" s="5"/>
      <c r="K105" s="5">
        <v>227</v>
      </c>
      <c r="L105" s="5">
        <v>6</v>
      </c>
      <c r="M105" s="5">
        <v>3</v>
      </c>
      <c r="N105" s="5" t="s">
        <v>4</v>
      </c>
      <c r="O105" s="5">
        <v>2</v>
      </c>
      <c r="P105" s="5">
        <f>ROUND(Source!EP98,O105)</f>
        <v>0</v>
      </c>
      <c r="Q105" s="5"/>
      <c r="R105" s="5"/>
      <c r="S105" s="5"/>
      <c r="T105" s="5"/>
      <c r="U105" s="5"/>
      <c r="V105" s="5"/>
      <c r="W105" s="5">
        <v>0</v>
      </c>
      <c r="X105" s="5">
        <v>1</v>
      </c>
      <c r="Y105" s="5">
        <v>0</v>
      </c>
      <c r="Z105" s="5">
        <v>0</v>
      </c>
      <c r="AA105" s="5">
        <v>1</v>
      </c>
      <c r="AB105" s="5">
        <v>0</v>
      </c>
    </row>
    <row r="106" spans="1:206">
      <c r="A106" s="5">
        <v>50</v>
      </c>
      <c r="B106" s="5">
        <v>0</v>
      </c>
      <c r="C106" s="5">
        <v>0</v>
      </c>
      <c r="D106" s="5">
        <v>1</v>
      </c>
      <c r="E106" s="5">
        <v>228</v>
      </c>
      <c r="F106" s="5">
        <f>ROUND(Source!AY98,O106)</f>
        <v>174.44</v>
      </c>
      <c r="G106" s="5" t="s">
        <v>39</v>
      </c>
      <c r="H106" s="5" t="s">
        <v>40</v>
      </c>
      <c r="I106" s="5"/>
      <c r="J106" s="5"/>
      <c r="K106" s="5">
        <v>228</v>
      </c>
      <c r="L106" s="5">
        <v>7</v>
      </c>
      <c r="M106" s="5">
        <v>3</v>
      </c>
      <c r="N106" s="5" t="s">
        <v>4</v>
      </c>
      <c r="O106" s="5">
        <v>2</v>
      </c>
      <c r="P106" s="5">
        <f>ROUND(Source!EQ98,O106)</f>
        <v>4734.3</v>
      </c>
      <c r="Q106" s="5"/>
      <c r="R106" s="5"/>
      <c r="S106" s="5"/>
      <c r="T106" s="5"/>
      <c r="U106" s="5"/>
      <c r="V106" s="5"/>
      <c r="W106" s="5">
        <v>174.44</v>
      </c>
      <c r="X106" s="5">
        <v>1</v>
      </c>
      <c r="Y106" s="5">
        <v>174.44</v>
      </c>
      <c r="Z106" s="5">
        <v>4734.3</v>
      </c>
      <c r="AA106" s="5">
        <v>1</v>
      </c>
      <c r="AB106" s="5">
        <v>4734.3</v>
      </c>
    </row>
    <row r="107" spans="1:206">
      <c r="A107" s="5">
        <v>50</v>
      </c>
      <c r="B107" s="5">
        <v>0</v>
      </c>
      <c r="C107" s="5">
        <v>0</v>
      </c>
      <c r="D107" s="5">
        <v>1</v>
      </c>
      <c r="E107" s="5">
        <v>216</v>
      </c>
      <c r="F107" s="5">
        <f>ROUND(Source!AP98,O107)</f>
        <v>1104022.1200000001</v>
      </c>
      <c r="G107" s="5" t="s">
        <v>41</v>
      </c>
      <c r="H107" s="5" t="s">
        <v>42</v>
      </c>
      <c r="I107" s="5"/>
      <c r="J107" s="5"/>
      <c r="K107" s="5">
        <v>216</v>
      </c>
      <c r="L107" s="5">
        <v>8</v>
      </c>
      <c r="M107" s="5">
        <v>3</v>
      </c>
      <c r="N107" s="5" t="s">
        <v>4</v>
      </c>
      <c r="O107" s="5">
        <v>2</v>
      </c>
      <c r="P107" s="5">
        <f>ROUND(Source!EH98,O107)</f>
        <v>8026240.8099999996</v>
      </c>
      <c r="Q107" s="5"/>
      <c r="R107" s="5"/>
      <c r="S107" s="5"/>
      <c r="T107" s="5"/>
      <c r="U107" s="5"/>
      <c r="V107" s="5"/>
      <c r="W107" s="5">
        <v>1104022.1200000001</v>
      </c>
      <c r="X107" s="5">
        <v>1</v>
      </c>
      <c r="Y107" s="5">
        <v>1104022.1200000001</v>
      </c>
      <c r="Z107" s="5">
        <v>8026240.8099999996</v>
      </c>
      <c r="AA107" s="5">
        <v>1</v>
      </c>
      <c r="AB107" s="5">
        <v>8026240.8099999996</v>
      </c>
    </row>
    <row r="108" spans="1:206">
      <c r="A108" s="5">
        <v>50</v>
      </c>
      <c r="B108" s="5">
        <v>0</v>
      </c>
      <c r="C108" s="5">
        <v>0</v>
      </c>
      <c r="D108" s="5">
        <v>1</v>
      </c>
      <c r="E108" s="5">
        <v>223</v>
      </c>
      <c r="F108" s="5">
        <f>ROUND(Source!AQ98,O108)</f>
        <v>0</v>
      </c>
      <c r="G108" s="5" t="s">
        <v>43</v>
      </c>
      <c r="H108" s="5" t="s">
        <v>44</v>
      </c>
      <c r="I108" s="5"/>
      <c r="J108" s="5"/>
      <c r="K108" s="5">
        <v>223</v>
      </c>
      <c r="L108" s="5">
        <v>9</v>
      </c>
      <c r="M108" s="5">
        <v>3</v>
      </c>
      <c r="N108" s="5" t="s">
        <v>4</v>
      </c>
      <c r="O108" s="5">
        <v>2</v>
      </c>
      <c r="P108" s="5">
        <f>ROUND(Source!EI98,O108)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06">
      <c r="A109" s="5">
        <v>50</v>
      </c>
      <c r="B109" s="5">
        <v>0</v>
      </c>
      <c r="C109" s="5">
        <v>0</v>
      </c>
      <c r="D109" s="5">
        <v>1</v>
      </c>
      <c r="E109" s="5">
        <v>229</v>
      </c>
      <c r="F109" s="5">
        <f>ROUND(Source!AZ98,O109)</f>
        <v>1104022.1200000001</v>
      </c>
      <c r="G109" s="5" t="s">
        <v>45</v>
      </c>
      <c r="H109" s="5" t="s">
        <v>46</v>
      </c>
      <c r="I109" s="5"/>
      <c r="J109" s="5"/>
      <c r="K109" s="5">
        <v>229</v>
      </c>
      <c r="L109" s="5">
        <v>10</v>
      </c>
      <c r="M109" s="5">
        <v>3</v>
      </c>
      <c r="N109" s="5" t="s">
        <v>4</v>
      </c>
      <c r="O109" s="5">
        <v>2</v>
      </c>
      <c r="P109" s="5">
        <f>ROUND(Source!ER98,O109)</f>
        <v>8026240.8099999996</v>
      </c>
      <c r="Q109" s="5"/>
      <c r="R109" s="5"/>
      <c r="S109" s="5"/>
      <c r="T109" s="5"/>
      <c r="U109" s="5"/>
      <c r="V109" s="5"/>
      <c r="W109" s="5">
        <v>1104022.1200000001</v>
      </c>
      <c r="X109" s="5">
        <v>1</v>
      </c>
      <c r="Y109" s="5">
        <v>1104022.1200000001</v>
      </c>
      <c r="Z109" s="5">
        <v>8026240.8099999996</v>
      </c>
      <c r="AA109" s="5">
        <v>1</v>
      </c>
      <c r="AB109" s="5">
        <v>8026240.8099999996</v>
      </c>
    </row>
    <row r="110" spans="1:206">
      <c r="A110" s="5">
        <v>50</v>
      </c>
      <c r="B110" s="5">
        <v>0</v>
      </c>
      <c r="C110" s="5">
        <v>0</v>
      </c>
      <c r="D110" s="5">
        <v>1</v>
      </c>
      <c r="E110" s="5">
        <v>203</v>
      </c>
      <c r="F110" s="5">
        <f>ROUND(Source!Q98,O110)</f>
        <v>1523.43</v>
      </c>
      <c r="G110" s="5" t="s">
        <v>47</v>
      </c>
      <c r="H110" s="5" t="s">
        <v>48</v>
      </c>
      <c r="I110" s="5"/>
      <c r="J110" s="5"/>
      <c r="K110" s="5">
        <v>203</v>
      </c>
      <c r="L110" s="5">
        <v>11</v>
      </c>
      <c r="M110" s="5">
        <v>3</v>
      </c>
      <c r="N110" s="5" t="s">
        <v>4</v>
      </c>
      <c r="O110" s="5">
        <v>2</v>
      </c>
      <c r="P110" s="5">
        <f>ROUND(Source!DI98,O110)</f>
        <v>29783.06</v>
      </c>
      <c r="Q110" s="5"/>
      <c r="R110" s="5"/>
      <c r="S110" s="5"/>
      <c r="T110" s="5"/>
      <c r="U110" s="5"/>
      <c r="V110" s="5"/>
      <c r="W110" s="5">
        <v>1523.43</v>
      </c>
      <c r="X110" s="5">
        <v>1</v>
      </c>
      <c r="Y110" s="5">
        <v>1523.43</v>
      </c>
      <c r="Z110" s="5">
        <v>29783.06</v>
      </c>
      <c r="AA110" s="5">
        <v>1</v>
      </c>
      <c r="AB110" s="5">
        <v>29783.06</v>
      </c>
    </row>
    <row r="111" spans="1:206">
      <c r="A111" s="5">
        <v>50</v>
      </c>
      <c r="B111" s="5">
        <v>0</v>
      </c>
      <c r="C111" s="5">
        <v>0</v>
      </c>
      <c r="D111" s="5">
        <v>1</v>
      </c>
      <c r="E111" s="5">
        <v>231</v>
      </c>
      <c r="F111" s="5">
        <f>ROUND(Source!BB98,O111)</f>
        <v>0</v>
      </c>
      <c r="G111" s="5" t="s">
        <v>49</v>
      </c>
      <c r="H111" s="5" t="s">
        <v>50</v>
      </c>
      <c r="I111" s="5"/>
      <c r="J111" s="5"/>
      <c r="K111" s="5">
        <v>231</v>
      </c>
      <c r="L111" s="5">
        <v>12</v>
      </c>
      <c r="M111" s="5">
        <v>3</v>
      </c>
      <c r="N111" s="5" t="s">
        <v>4</v>
      </c>
      <c r="O111" s="5">
        <v>2</v>
      </c>
      <c r="P111" s="5">
        <f>ROUND(Source!ET98,O111)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06">
      <c r="A112" s="5">
        <v>50</v>
      </c>
      <c r="B112" s="5">
        <v>0</v>
      </c>
      <c r="C112" s="5">
        <v>0</v>
      </c>
      <c r="D112" s="5">
        <v>1</v>
      </c>
      <c r="E112" s="5">
        <v>204</v>
      </c>
      <c r="F112" s="5">
        <f>ROUND(Source!R98,O112)</f>
        <v>409.15</v>
      </c>
      <c r="G112" s="5" t="s">
        <v>51</v>
      </c>
      <c r="H112" s="5" t="s">
        <v>52</v>
      </c>
      <c r="I112" s="5"/>
      <c r="J112" s="5"/>
      <c r="K112" s="5">
        <v>204</v>
      </c>
      <c r="L112" s="5">
        <v>13</v>
      </c>
      <c r="M112" s="5">
        <v>3</v>
      </c>
      <c r="N112" s="5" t="s">
        <v>4</v>
      </c>
      <c r="O112" s="5">
        <v>2</v>
      </c>
      <c r="P112" s="5">
        <f>ROUND(Source!DJ98,O112)</f>
        <v>19095.03</v>
      </c>
      <c r="Q112" s="5"/>
      <c r="R112" s="5"/>
      <c r="S112" s="5"/>
      <c r="T112" s="5"/>
      <c r="U112" s="5"/>
      <c r="V112" s="5"/>
      <c r="W112" s="5">
        <v>409.15</v>
      </c>
      <c r="X112" s="5">
        <v>1</v>
      </c>
      <c r="Y112" s="5">
        <v>409.15</v>
      </c>
      <c r="Z112" s="5">
        <v>19095.03</v>
      </c>
      <c r="AA112" s="5">
        <v>1</v>
      </c>
      <c r="AB112" s="5">
        <v>19095.03</v>
      </c>
    </row>
    <row r="113" spans="1:206">
      <c r="A113" s="5">
        <v>50</v>
      </c>
      <c r="B113" s="5">
        <v>0</v>
      </c>
      <c r="C113" s="5">
        <v>0</v>
      </c>
      <c r="D113" s="5">
        <v>1</v>
      </c>
      <c r="E113" s="5">
        <v>205</v>
      </c>
      <c r="F113" s="5">
        <f>ROUND(Source!S98,O113)</f>
        <v>761.09</v>
      </c>
      <c r="G113" s="5" t="s">
        <v>53</v>
      </c>
      <c r="H113" s="5" t="s">
        <v>54</v>
      </c>
      <c r="I113" s="5"/>
      <c r="J113" s="5"/>
      <c r="K113" s="5">
        <v>205</v>
      </c>
      <c r="L113" s="5">
        <v>14</v>
      </c>
      <c r="M113" s="5">
        <v>3</v>
      </c>
      <c r="N113" s="5" t="s">
        <v>4</v>
      </c>
      <c r="O113" s="5">
        <v>2</v>
      </c>
      <c r="P113" s="5">
        <f>ROUND(Source!DK98,O113)</f>
        <v>35520.07</v>
      </c>
      <c r="Q113" s="5"/>
      <c r="R113" s="5"/>
      <c r="S113" s="5"/>
      <c r="T113" s="5"/>
      <c r="U113" s="5"/>
      <c r="V113" s="5"/>
      <c r="W113" s="5">
        <v>761.09</v>
      </c>
      <c r="X113" s="5">
        <v>1</v>
      </c>
      <c r="Y113" s="5">
        <v>761.09</v>
      </c>
      <c r="Z113" s="5">
        <v>35520.07</v>
      </c>
      <c r="AA113" s="5">
        <v>1</v>
      </c>
      <c r="AB113" s="5">
        <v>35520.07</v>
      </c>
    </row>
    <row r="114" spans="1:206">
      <c r="A114" s="5">
        <v>50</v>
      </c>
      <c r="B114" s="5">
        <v>0</v>
      </c>
      <c r="C114" s="5">
        <v>0</v>
      </c>
      <c r="D114" s="5">
        <v>1</v>
      </c>
      <c r="E114" s="5">
        <v>232</v>
      </c>
      <c r="F114" s="5">
        <f>ROUND(Source!BC98,O114)</f>
        <v>0</v>
      </c>
      <c r="G114" s="5" t="s">
        <v>55</v>
      </c>
      <c r="H114" s="5" t="s">
        <v>56</v>
      </c>
      <c r="I114" s="5"/>
      <c r="J114" s="5"/>
      <c r="K114" s="5">
        <v>232</v>
      </c>
      <c r="L114" s="5">
        <v>15</v>
      </c>
      <c r="M114" s="5">
        <v>3</v>
      </c>
      <c r="N114" s="5" t="s">
        <v>4</v>
      </c>
      <c r="O114" s="5">
        <v>2</v>
      </c>
      <c r="P114" s="5">
        <f>ROUND(Source!EU98,O114)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06">
      <c r="A115" s="5">
        <v>50</v>
      </c>
      <c r="B115" s="5">
        <v>0</v>
      </c>
      <c r="C115" s="5">
        <v>0</v>
      </c>
      <c r="D115" s="5">
        <v>1</v>
      </c>
      <c r="E115" s="5">
        <v>214</v>
      </c>
      <c r="F115" s="5">
        <f>ROUND(Source!AS98,O115)</f>
        <v>0</v>
      </c>
      <c r="G115" s="5" t="s">
        <v>57</v>
      </c>
      <c r="H115" s="5" t="s">
        <v>58</v>
      </c>
      <c r="I115" s="5"/>
      <c r="J115" s="5"/>
      <c r="K115" s="5">
        <v>214</v>
      </c>
      <c r="L115" s="5">
        <v>16</v>
      </c>
      <c r="M115" s="5">
        <v>3</v>
      </c>
      <c r="N115" s="5" t="s">
        <v>4</v>
      </c>
      <c r="O115" s="5">
        <v>2</v>
      </c>
      <c r="P115" s="5">
        <f>ROUND(Source!EK98,O115)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06">
      <c r="A116" s="5">
        <v>50</v>
      </c>
      <c r="B116" s="5">
        <v>0</v>
      </c>
      <c r="C116" s="5">
        <v>0</v>
      </c>
      <c r="D116" s="5">
        <v>1</v>
      </c>
      <c r="E116" s="5">
        <v>215</v>
      </c>
      <c r="F116" s="5">
        <f>ROUND(Source!AT98,O116)</f>
        <v>4560.1499999999996</v>
      </c>
      <c r="G116" s="5" t="s">
        <v>59</v>
      </c>
      <c r="H116" s="5" t="s">
        <v>60</v>
      </c>
      <c r="I116" s="5"/>
      <c r="J116" s="5"/>
      <c r="K116" s="5">
        <v>215</v>
      </c>
      <c r="L116" s="5">
        <v>17</v>
      </c>
      <c r="M116" s="5">
        <v>3</v>
      </c>
      <c r="N116" s="5" t="s">
        <v>4</v>
      </c>
      <c r="O116" s="5">
        <v>2</v>
      </c>
      <c r="P116" s="5">
        <f>ROUND(Source!EL98,O116)</f>
        <v>148541.57</v>
      </c>
      <c r="Q116" s="5"/>
      <c r="R116" s="5"/>
      <c r="S116" s="5"/>
      <c r="T116" s="5"/>
      <c r="U116" s="5"/>
      <c r="V116" s="5"/>
      <c r="W116" s="5">
        <v>4560.1499999999996</v>
      </c>
      <c r="X116" s="5">
        <v>1</v>
      </c>
      <c r="Y116" s="5">
        <v>4560.1499999999996</v>
      </c>
      <c r="Z116" s="5">
        <v>148541.57</v>
      </c>
      <c r="AA116" s="5">
        <v>1</v>
      </c>
      <c r="AB116" s="5">
        <v>148541.57</v>
      </c>
    </row>
    <row r="117" spans="1:206">
      <c r="A117" s="5">
        <v>50</v>
      </c>
      <c r="B117" s="5">
        <v>0</v>
      </c>
      <c r="C117" s="5">
        <v>0</v>
      </c>
      <c r="D117" s="5">
        <v>1</v>
      </c>
      <c r="E117" s="5">
        <v>217</v>
      </c>
      <c r="F117" s="5">
        <f>ROUND(Source!AU98,O117)</f>
        <v>0</v>
      </c>
      <c r="G117" s="5" t="s">
        <v>61</v>
      </c>
      <c r="H117" s="5" t="s">
        <v>62</v>
      </c>
      <c r="I117" s="5"/>
      <c r="J117" s="5"/>
      <c r="K117" s="5">
        <v>217</v>
      </c>
      <c r="L117" s="5">
        <v>18</v>
      </c>
      <c r="M117" s="5">
        <v>3</v>
      </c>
      <c r="N117" s="5" t="s">
        <v>4</v>
      </c>
      <c r="O117" s="5">
        <v>2</v>
      </c>
      <c r="P117" s="5">
        <f>ROUND(Source!EM98,O117)</f>
        <v>0</v>
      </c>
      <c r="Q117" s="5"/>
      <c r="R117" s="5"/>
      <c r="S117" s="5"/>
      <c r="T117" s="5"/>
      <c r="U117" s="5"/>
      <c r="V117" s="5"/>
      <c r="W117" s="5">
        <v>0</v>
      </c>
      <c r="X117" s="5">
        <v>1</v>
      </c>
      <c r="Y117" s="5">
        <v>0</v>
      </c>
      <c r="Z117" s="5">
        <v>0</v>
      </c>
      <c r="AA117" s="5">
        <v>1</v>
      </c>
      <c r="AB117" s="5">
        <v>0</v>
      </c>
    </row>
    <row r="118" spans="1:206">
      <c r="A118" s="5">
        <v>50</v>
      </c>
      <c r="B118" s="5">
        <v>0</v>
      </c>
      <c r="C118" s="5">
        <v>0</v>
      </c>
      <c r="D118" s="5">
        <v>1</v>
      </c>
      <c r="E118" s="5">
        <v>230</v>
      </c>
      <c r="F118" s="5">
        <f>ROUND(Source!BA98,O118)</f>
        <v>0</v>
      </c>
      <c r="G118" s="5" t="s">
        <v>63</v>
      </c>
      <c r="H118" s="5" t="s">
        <v>64</v>
      </c>
      <c r="I118" s="5"/>
      <c r="J118" s="5"/>
      <c r="K118" s="5">
        <v>230</v>
      </c>
      <c r="L118" s="5">
        <v>19</v>
      </c>
      <c r="M118" s="5">
        <v>3</v>
      </c>
      <c r="N118" s="5" t="s">
        <v>4</v>
      </c>
      <c r="O118" s="5">
        <v>2</v>
      </c>
      <c r="P118" s="5">
        <f>ROUND(Source!ES98,O118)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06">
      <c r="A119" s="5">
        <v>50</v>
      </c>
      <c r="B119" s="5">
        <v>0</v>
      </c>
      <c r="C119" s="5">
        <v>0</v>
      </c>
      <c r="D119" s="5">
        <v>1</v>
      </c>
      <c r="E119" s="5">
        <v>206</v>
      </c>
      <c r="F119" s="5">
        <f>ROUND(Source!T98,O119)</f>
        <v>0</v>
      </c>
      <c r="G119" s="5" t="s">
        <v>65</v>
      </c>
      <c r="H119" s="5" t="s">
        <v>66</v>
      </c>
      <c r="I119" s="5"/>
      <c r="J119" s="5"/>
      <c r="K119" s="5">
        <v>206</v>
      </c>
      <c r="L119" s="5">
        <v>20</v>
      </c>
      <c r="M119" s="5">
        <v>3</v>
      </c>
      <c r="N119" s="5" t="s">
        <v>4</v>
      </c>
      <c r="O119" s="5">
        <v>2</v>
      </c>
      <c r="P119" s="5">
        <f>ROUND(Source!DL98,O119)</f>
        <v>0</v>
      </c>
      <c r="Q119" s="5"/>
      <c r="R119" s="5"/>
      <c r="S119" s="5"/>
      <c r="T119" s="5"/>
      <c r="U119" s="5"/>
      <c r="V119" s="5"/>
      <c r="W119" s="5">
        <v>0</v>
      </c>
      <c r="X119" s="5">
        <v>1</v>
      </c>
      <c r="Y119" s="5">
        <v>0</v>
      </c>
      <c r="Z119" s="5">
        <v>0</v>
      </c>
      <c r="AA119" s="5">
        <v>1</v>
      </c>
      <c r="AB119" s="5">
        <v>0</v>
      </c>
    </row>
    <row r="120" spans="1:206">
      <c r="A120" s="5">
        <v>50</v>
      </c>
      <c r="B120" s="5">
        <v>0</v>
      </c>
      <c r="C120" s="5">
        <v>0</v>
      </c>
      <c r="D120" s="5">
        <v>1</v>
      </c>
      <c r="E120" s="5">
        <v>207</v>
      </c>
      <c r="F120" s="5">
        <f>Source!U98</f>
        <v>60.307199999999995</v>
      </c>
      <c r="G120" s="5" t="s">
        <v>67</v>
      </c>
      <c r="H120" s="5" t="s">
        <v>68</v>
      </c>
      <c r="I120" s="5"/>
      <c r="J120" s="5"/>
      <c r="K120" s="5">
        <v>207</v>
      </c>
      <c r="L120" s="5">
        <v>21</v>
      </c>
      <c r="M120" s="5">
        <v>3</v>
      </c>
      <c r="N120" s="5" t="s">
        <v>4</v>
      </c>
      <c r="O120" s="5">
        <v>-1</v>
      </c>
      <c r="P120" s="5">
        <f>Source!DM98</f>
        <v>60.307199999999995</v>
      </c>
      <c r="Q120" s="5"/>
      <c r="R120" s="5"/>
      <c r="S120" s="5"/>
      <c r="T120" s="5"/>
      <c r="U120" s="5"/>
      <c r="V120" s="5"/>
      <c r="W120" s="5">
        <v>60.307200000000002</v>
      </c>
      <c r="X120" s="5">
        <v>1</v>
      </c>
      <c r="Y120" s="5">
        <v>60.307200000000002</v>
      </c>
      <c r="Z120" s="5">
        <v>60.307200000000002</v>
      </c>
      <c r="AA120" s="5">
        <v>1</v>
      </c>
      <c r="AB120" s="5">
        <v>60.307200000000002</v>
      </c>
    </row>
    <row r="121" spans="1:206">
      <c r="A121" s="5">
        <v>50</v>
      </c>
      <c r="B121" s="5">
        <v>0</v>
      </c>
      <c r="C121" s="5">
        <v>0</v>
      </c>
      <c r="D121" s="5">
        <v>1</v>
      </c>
      <c r="E121" s="5">
        <v>208</v>
      </c>
      <c r="F121" s="5">
        <f>Source!V98</f>
        <v>0</v>
      </c>
      <c r="G121" s="5" t="s">
        <v>69</v>
      </c>
      <c r="H121" s="5" t="s">
        <v>70</v>
      </c>
      <c r="I121" s="5"/>
      <c r="J121" s="5"/>
      <c r="K121" s="5">
        <v>208</v>
      </c>
      <c r="L121" s="5">
        <v>22</v>
      </c>
      <c r="M121" s="5">
        <v>3</v>
      </c>
      <c r="N121" s="5" t="s">
        <v>4</v>
      </c>
      <c r="O121" s="5">
        <v>-1</v>
      </c>
      <c r="P121" s="5">
        <f>Source!DN98</f>
        <v>0</v>
      </c>
      <c r="Q121" s="5"/>
      <c r="R121" s="5"/>
      <c r="S121" s="5"/>
      <c r="T121" s="5"/>
      <c r="U121" s="5"/>
      <c r="V121" s="5"/>
      <c r="W121" s="5">
        <v>0</v>
      </c>
      <c r="X121" s="5">
        <v>1</v>
      </c>
      <c r="Y121" s="5">
        <v>0</v>
      </c>
      <c r="Z121" s="5">
        <v>0</v>
      </c>
      <c r="AA121" s="5">
        <v>1</v>
      </c>
      <c r="AB121" s="5">
        <v>0</v>
      </c>
    </row>
    <row r="122" spans="1:206">
      <c r="A122" s="5">
        <v>50</v>
      </c>
      <c r="B122" s="5">
        <v>0</v>
      </c>
      <c r="C122" s="5">
        <v>0</v>
      </c>
      <c r="D122" s="5">
        <v>1</v>
      </c>
      <c r="E122" s="5">
        <v>209</v>
      </c>
      <c r="F122" s="5">
        <f>ROUND(Source!W98,O122)</f>
        <v>0</v>
      </c>
      <c r="G122" s="5" t="s">
        <v>71</v>
      </c>
      <c r="H122" s="5" t="s">
        <v>72</v>
      </c>
      <c r="I122" s="5"/>
      <c r="J122" s="5"/>
      <c r="K122" s="5">
        <v>209</v>
      </c>
      <c r="L122" s="5">
        <v>23</v>
      </c>
      <c r="M122" s="5">
        <v>3</v>
      </c>
      <c r="N122" s="5" t="s">
        <v>4</v>
      </c>
      <c r="O122" s="5">
        <v>2</v>
      </c>
      <c r="P122" s="5">
        <f>ROUND(Source!DO98,O122)</f>
        <v>0</v>
      </c>
      <c r="Q122" s="5"/>
      <c r="R122" s="5"/>
      <c r="S122" s="5"/>
      <c r="T122" s="5"/>
      <c r="U122" s="5"/>
      <c r="V122" s="5"/>
      <c r="W122" s="5">
        <v>0</v>
      </c>
      <c r="X122" s="5">
        <v>1</v>
      </c>
      <c r="Y122" s="5">
        <v>0</v>
      </c>
      <c r="Z122" s="5">
        <v>0</v>
      </c>
      <c r="AA122" s="5">
        <v>1</v>
      </c>
      <c r="AB122" s="5">
        <v>0</v>
      </c>
    </row>
    <row r="123" spans="1:206">
      <c r="A123" s="5">
        <v>50</v>
      </c>
      <c r="B123" s="5">
        <v>0</v>
      </c>
      <c r="C123" s="5">
        <v>0</v>
      </c>
      <c r="D123" s="5">
        <v>1</v>
      </c>
      <c r="E123" s="5">
        <v>233</v>
      </c>
      <c r="F123" s="5">
        <f>ROUND(Source!BD98,O123)</f>
        <v>0</v>
      </c>
      <c r="G123" s="5" t="s">
        <v>73</v>
      </c>
      <c r="H123" s="5" t="s">
        <v>74</v>
      </c>
      <c r="I123" s="5"/>
      <c r="J123" s="5"/>
      <c r="K123" s="5">
        <v>233</v>
      </c>
      <c r="L123" s="5">
        <v>24</v>
      </c>
      <c r="M123" s="5">
        <v>3</v>
      </c>
      <c r="N123" s="5" t="s">
        <v>4</v>
      </c>
      <c r="O123" s="5">
        <v>2</v>
      </c>
      <c r="P123" s="5">
        <f>ROUND(Source!EV98,O123)</f>
        <v>0</v>
      </c>
      <c r="Q123" s="5"/>
      <c r="R123" s="5"/>
      <c r="S123" s="5"/>
      <c r="T123" s="5"/>
      <c r="U123" s="5"/>
      <c r="V123" s="5"/>
      <c r="W123" s="5">
        <v>0</v>
      </c>
      <c r="X123" s="5">
        <v>1</v>
      </c>
      <c r="Y123" s="5">
        <v>0</v>
      </c>
      <c r="Z123" s="5">
        <v>0</v>
      </c>
      <c r="AA123" s="5">
        <v>1</v>
      </c>
      <c r="AB123" s="5">
        <v>0</v>
      </c>
    </row>
    <row r="124" spans="1:206">
      <c r="A124" s="5">
        <v>50</v>
      </c>
      <c r="B124" s="5">
        <v>0</v>
      </c>
      <c r="C124" s="5">
        <v>0</v>
      </c>
      <c r="D124" s="5">
        <v>1</v>
      </c>
      <c r="E124" s="5">
        <v>210</v>
      </c>
      <c r="F124" s="5">
        <f>ROUND(Source!X98,O124)</f>
        <v>852.42</v>
      </c>
      <c r="G124" s="5" t="s">
        <v>75</v>
      </c>
      <c r="H124" s="5" t="s">
        <v>76</v>
      </c>
      <c r="I124" s="5"/>
      <c r="J124" s="5"/>
      <c r="K124" s="5">
        <v>210</v>
      </c>
      <c r="L124" s="5">
        <v>25</v>
      </c>
      <c r="M124" s="5">
        <v>3</v>
      </c>
      <c r="N124" s="5" t="s">
        <v>4</v>
      </c>
      <c r="O124" s="5">
        <v>2</v>
      </c>
      <c r="P124" s="5">
        <f>ROUND(Source!DP98,O124)</f>
        <v>32678.46</v>
      </c>
      <c r="Q124" s="5"/>
      <c r="R124" s="5"/>
      <c r="S124" s="5"/>
      <c r="T124" s="5"/>
      <c r="U124" s="5"/>
      <c r="V124" s="5"/>
      <c r="W124" s="5">
        <v>852.42</v>
      </c>
      <c r="X124" s="5">
        <v>1</v>
      </c>
      <c r="Y124" s="5">
        <v>852.42</v>
      </c>
      <c r="Z124" s="5">
        <v>32678.46</v>
      </c>
      <c r="AA124" s="5">
        <v>1</v>
      </c>
      <c r="AB124" s="5">
        <v>32678.46</v>
      </c>
    </row>
    <row r="125" spans="1:206">
      <c r="A125" s="5">
        <v>50</v>
      </c>
      <c r="B125" s="5">
        <v>0</v>
      </c>
      <c r="C125" s="5">
        <v>0</v>
      </c>
      <c r="D125" s="5">
        <v>1</v>
      </c>
      <c r="E125" s="5">
        <v>211</v>
      </c>
      <c r="F125" s="5">
        <f>ROUND(Source!Y98,O125)</f>
        <v>532.76</v>
      </c>
      <c r="G125" s="5" t="s">
        <v>77</v>
      </c>
      <c r="H125" s="5" t="s">
        <v>78</v>
      </c>
      <c r="I125" s="5"/>
      <c r="J125" s="5"/>
      <c r="K125" s="5">
        <v>211</v>
      </c>
      <c r="L125" s="5">
        <v>26</v>
      </c>
      <c r="M125" s="5">
        <v>3</v>
      </c>
      <c r="N125" s="5" t="s">
        <v>4</v>
      </c>
      <c r="O125" s="5">
        <v>2</v>
      </c>
      <c r="P125" s="5">
        <f>ROUND(Source!DQ98,O125)</f>
        <v>15273.63</v>
      </c>
      <c r="Q125" s="5"/>
      <c r="R125" s="5"/>
      <c r="S125" s="5"/>
      <c r="T125" s="5"/>
      <c r="U125" s="5"/>
      <c r="V125" s="5"/>
      <c r="W125" s="5">
        <v>532.76</v>
      </c>
      <c r="X125" s="5">
        <v>1</v>
      </c>
      <c r="Y125" s="5">
        <v>532.76</v>
      </c>
      <c r="Z125" s="5">
        <v>15273.63</v>
      </c>
      <c r="AA125" s="5">
        <v>1</v>
      </c>
      <c r="AB125" s="5">
        <v>15273.63</v>
      </c>
    </row>
    <row r="126" spans="1:206">
      <c r="A126" s="5">
        <v>50</v>
      </c>
      <c r="B126" s="5">
        <v>0</v>
      </c>
      <c r="C126" s="5">
        <v>0</v>
      </c>
      <c r="D126" s="5">
        <v>1</v>
      </c>
      <c r="E126" s="5">
        <v>224</v>
      </c>
      <c r="F126" s="5">
        <f>ROUND(Source!AR98,O126)</f>
        <v>1108582.27</v>
      </c>
      <c r="G126" s="5" t="s">
        <v>79</v>
      </c>
      <c r="H126" s="5" t="s">
        <v>80</v>
      </c>
      <c r="I126" s="5"/>
      <c r="J126" s="5"/>
      <c r="K126" s="5">
        <v>224</v>
      </c>
      <c r="L126" s="5">
        <v>27</v>
      </c>
      <c r="M126" s="5">
        <v>3</v>
      </c>
      <c r="N126" s="5" t="s">
        <v>4</v>
      </c>
      <c r="O126" s="5">
        <v>2</v>
      </c>
      <c r="P126" s="5">
        <f>ROUND(Source!EJ98,O126)</f>
        <v>8174782.3799999999</v>
      </c>
      <c r="Q126" s="5"/>
      <c r="R126" s="5"/>
      <c r="S126" s="5"/>
      <c r="T126" s="5"/>
      <c r="U126" s="5"/>
      <c r="V126" s="5"/>
      <c r="W126" s="5">
        <v>1108582.27</v>
      </c>
      <c r="X126" s="5">
        <v>1</v>
      </c>
      <c r="Y126" s="5">
        <v>1108582.27</v>
      </c>
      <c r="Z126" s="5">
        <v>8174782.3799999999</v>
      </c>
      <c r="AA126" s="5">
        <v>1</v>
      </c>
      <c r="AB126" s="5">
        <v>8174782.3799999999</v>
      </c>
    </row>
    <row r="128" spans="1:206">
      <c r="A128" s="3">
        <v>51</v>
      </c>
      <c r="B128" s="3">
        <f>B12</f>
        <v>167</v>
      </c>
      <c r="C128" s="3">
        <f>A12</f>
        <v>1</v>
      </c>
      <c r="D128" s="3">
        <f>ROW(A12)</f>
        <v>12</v>
      </c>
      <c r="E128" s="3"/>
      <c r="F128" s="3" t="str">
        <f>IF(F12&lt;&gt;"",F12,"")</f>
        <v/>
      </c>
      <c r="G128" s="3" t="str">
        <f>IF(G12&lt;&gt;"",G12,"")</f>
        <v>02-01-04  Реконструкция ТП 27616 _24.04.25._</v>
      </c>
      <c r="H128" s="3">
        <v>0</v>
      </c>
      <c r="I128" s="3"/>
      <c r="J128" s="3"/>
      <c r="K128" s="3"/>
      <c r="L128" s="3"/>
      <c r="M128" s="3"/>
      <c r="N128" s="3"/>
      <c r="O128" s="3">
        <f t="shared" ref="O128:T128" si="40">ROUND(O98,2)</f>
        <v>1106481.08</v>
      </c>
      <c r="P128" s="3">
        <f t="shared" si="40"/>
        <v>1104196.56</v>
      </c>
      <c r="Q128" s="3">
        <f t="shared" si="40"/>
        <v>1523.43</v>
      </c>
      <c r="R128" s="3">
        <f t="shared" si="40"/>
        <v>409.15</v>
      </c>
      <c r="S128" s="3">
        <f t="shared" si="40"/>
        <v>761.09</v>
      </c>
      <c r="T128" s="3">
        <f t="shared" si="40"/>
        <v>0</v>
      </c>
      <c r="U128" s="3">
        <f>U98</f>
        <v>60.307199999999995</v>
      </c>
      <c r="V128" s="3">
        <f>V98</f>
        <v>0</v>
      </c>
      <c r="W128" s="3">
        <f>ROUND(W98,2)</f>
        <v>0</v>
      </c>
      <c r="X128" s="3">
        <f>ROUND(X98,2)</f>
        <v>852.42</v>
      </c>
      <c r="Y128" s="3">
        <f>ROUND(Y98,2)</f>
        <v>532.76</v>
      </c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>
        <f t="shared" ref="AO128:BD128" si="41">ROUND(AO98,2)</f>
        <v>0</v>
      </c>
      <c r="AP128" s="3">
        <f t="shared" si="41"/>
        <v>1104022.1200000001</v>
      </c>
      <c r="AQ128" s="3">
        <f t="shared" si="41"/>
        <v>0</v>
      </c>
      <c r="AR128" s="3">
        <f t="shared" si="41"/>
        <v>1108582.27</v>
      </c>
      <c r="AS128" s="3">
        <f t="shared" si="41"/>
        <v>0</v>
      </c>
      <c r="AT128" s="3">
        <f t="shared" si="41"/>
        <v>4560.1499999999996</v>
      </c>
      <c r="AU128" s="3">
        <f t="shared" si="41"/>
        <v>0</v>
      </c>
      <c r="AV128" s="3">
        <f t="shared" si="41"/>
        <v>1104196.56</v>
      </c>
      <c r="AW128" s="3">
        <f t="shared" si="41"/>
        <v>174.44</v>
      </c>
      <c r="AX128" s="3">
        <f t="shared" si="41"/>
        <v>0</v>
      </c>
      <c r="AY128" s="3">
        <f t="shared" si="41"/>
        <v>174.44</v>
      </c>
      <c r="AZ128" s="3">
        <f t="shared" si="41"/>
        <v>1104022.1200000001</v>
      </c>
      <c r="BA128" s="3">
        <f t="shared" si="41"/>
        <v>0</v>
      </c>
      <c r="BB128" s="3">
        <f t="shared" si="41"/>
        <v>0</v>
      </c>
      <c r="BC128" s="3">
        <f t="shared" si="41"/>
        <v>0</v>
      </c>
      <c r="BD128" s="3">
        <f t="shared" si="41"/>
        <v>0</v>
      </c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4">
        <f t="shared" ref="DG128:DL128" si="42">ROUND(DG98,2)</f>
        <v>8096278.2400000002</v>
      </c>
      <c r="DH128" s="4">
        <f t="shared" si="42"/>
        <v>8030975.1100000003</v>
      </c>
      <c r="DI128" s="4">
        <f t="shared" si="42"/>
        <v>29783.06</v>
      </c>
      <c r="DJ128" s="4">
        <f t="shared" si="42"/>
        <v>19095.03</v>
      </c>
      <c r="DK128" s="4">
        <f t="shared" si="42"/>
        <v>35520.07</v>
      </c>
      <c r="DL128" s="4">
        <f t="shared" si="42"/>
        <v>0</v>
      </c>
      <c r="DM128" s="4">
        <f>DM98</f>
        <v>60.307199999999995</v>
      </c>
      <c r="DN128" s="4">
        <f>DN98</f>
        <v>0</v>
      </c>
      <c r="DO128" s="4">
        <f>ROUND(DO98,2)</f>
        <v>0</v>
      </c>
      <c r="DP128" s="4">
        <f>ROUND(DP98,2)</f>
        <v>32678.46</v>
      </c>
      <c r="DQ128" s="4">
        <f>ROUND(DQ98,2)</f>
        <v>15273.63</v>
      </c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>
        <f t="shared" ref="EG128:EV128" si="43">ROUND(EG98,2)</f>
        <v>0</v>
      </c>
      <c r="EH128" s="4">
        <f t="shared" si="43"/>
        <v>8026240.8099999996</v>
      </c>
      <c r="EI128" s="4">
        <f t="shared" si="43"/>
        <v>0</v>
      </c>
      <c r="EJ128" s="4">
        <f t="shared" si="43"/>
        <v>8174782.3799999999</v>
      </c>
      <c r="EK128" s="4">
        <f t="shared" si="43"/>
        <v>0</v>
      </c>
      <c r="EL128" s="4">
        <f t="shared" si="43"/>
        <v>148541.57</v>
      </c>
      <c r="EM128" s="4">
        <f t="shared" si="43"/>
        <v>0</v>
      </c>
      <c r="EN128" s="4">
        <f t="shared" si="43"/>
        <v>8030975.1100000003</v>
      </c>
      <c r="EO128" s="4">
        <f t="shared" si="43"/>
        <v>4734.3</v>
      </c>
      <c r="EP128" s="4">
        <f t="shared" si="43"/>
        <v>0</v>
      </c>
      <c r="EQ128" s="4">
        <f t="shared" si="43"/>
        <v>4734.3</v>
      </c>
      <c r="ER128" s="4">
        <f t="shared" si="43"/>
        <v>8026240.8099999996</v>
      </c>
      <c r="ES128" s="4">
        <f t="shared" si="43"/>
        <v>0</v>
      </c>
      <c r="ET128" s="4">
        <f t="shared" si="43"/>
        <v>0</v>
      </c>
      <c r="EU128" s="4">
        <f t="shared" si="43"/>
        <v>0</v>
      </c>
      <c r="EV128" s="4">
        <f t="shared" si="43"/>
        <v>0</v>
      </c>
      <c r="EW128" s="4"/>
      <c r="EX128" s="4"/>
      <c r="EY128" s="4"/>
      <c r="EZ128" s="4"/>
      <c r="FA128" s="4"/>
      <c r="FB128" s="4"/>
      <c r="FC128" s="4"/>
      <c r="FD128" s="4"/>
      <c r="FE128" s="4"/>
      <c r="FF128" s="4"/>
      <c r="FG128" s="4"/>
      <c r="FH128" s="4"/>
      <c r="FI128" s="4"/>
      <c r="FJ128" s="4"/>
      <c r="FK128" s="4"/>
      <c r="FL128" s="4"/>
      <c r="FM128" s="4"/>
      <c r="FN128" s="4"/>
      <c r="FO128" s="4"/>
      <c r="FP128" s="4"/>
      <c r="FQ128" s="4"/>
      <c r="FR128" s="4"/>
      <c r="FS128" s="4"/>
      <c r="FT128" s="4"/>
      <c r="FU128" s="4"/>
      <c r="FV128" s="4"/>
      <c r="FW128" s="4"/>
      <c r="FX128" s="4"/>
      <c r="FY128" s="4"/>
      <c r="FZ128" s="4"/>
      <c r="GA128" s="4"/>
      <c r="GB128" s="4"/>
      <c r="GC128" s="4"/>
      <c r="GD128" s="4"/>
      <c r="GE128" s="4"/>
      <c r="GF128" s="4"/>
      <c r="GG128" s="4"/>
      <c r="GH128" s="4"/>
      <c r="GI128" s="4"/>
      <c r="GJ128" s="4"/>
      <c r="GK128" s="4"/>
      <c r="GL128" s="4"/>
      <c r="GM128" s="4"/>
      <c r="GN128" s="4"/>
      <c r="GO128" s="4"/>
      <c r="GP128" s="4"/>
      <c r="GQ128" s="4"/>
      <c r="GR128" s="4"/>
      <c r="GS128" s="4"/>
      <c r="GT128" s="4"/>
      <c r="GU128" s="4"/>
      <c r="GV128" s="4"/>
      <c r="GW128" s="4"/>
      <c r="GX128" s="4">
        <v>0</v>
      </c>
    </row>
    <row r="130" spans="1:28">
      <c r="A130" s="5">
        <v>50</v>
      </c>
      <c r="B130" s="5">
        <v>0</v>
      </c>
      <c r="C130" s="5">
        <v>0</v>
      </c>
      <c r="D130" s="5">
        <v>1</v>
      </c>
      <c r="E130" s="5">
        <v>201</v>
      </c>
      <c r="F130" s="5">
        <f>ROUND(Source!O128,O130)</f>
        <v>1106481.08</v>
      </c>
      <c r="G130" s="5" t="s">
        <v>27</v>
      </c>
      <c r="H130" s="5" t="s">
        <v>28</v>
      </c>
      <c r="I130" s="5"/>
      <c r="J130" s="5"/>
      <c r="K130" s="5">
        <v>201</v>
      </c>
      <c r="L130" s="5">
        <v>1</v>
      </c>
      <c r="M130" s="5">
        <v>3</v>
      </c>
      <c r="N130" s="5" t="s">
        <v>4</v>
      </c>
      <c r="O130" s="5">
        <v>2</v>
      </c>
      <c r="P130" s="5">
        <f>ROUND(Source!DG128,O130)</f>
        <v>8096278.2400000002</v>
      </c>
      <c r="Q130" s="5"/>
      <c r="R130" s="5"/>
      <c r="S130" s="5"/>
      <c r="T130" s="5"/>
      <c r="U130" s="5"/>
      <c r="V130" s="5"/>
      <c r="W130" s="5">
        <v>1106481.08</v>
      </c>
      <c r="X130" s="5">
        <v>1</v>
      </c>
      <c r="Y130" s="5">
        <v>1106481.08</v>
      </c>
      <c r="Z130" s="5">
        <v>8096278.2400000002</v>
      </c>
      <c r="AA130" s="5">
        <v>1</v>
      </c>
      <c r="AB130" s="5">
        <v>8096278.2400000002</v>
      </c>
    </row>
    <row r="131" spans="1:28">
      <c r="A131" s="5">
        <v>50</v>
      </c>
      <c r="B131" s="5">
        <v>0</v>
      </c>
      <c r="C131" s="5">
        <v>0</v>
      </c>
      <c r="D131" s="5">
        <v>1</v>
      </c>
      <c r="E131" s="5">
        <v>202</v>
      </c>
      <c r="F131" s="5">
        <f>ROUND(Source!P128,O131)</f>
        <v>1104196.56</v>
      </c>
      <c r="G131" s="5" t="s">
        <v>29</v>
      </c>
      <c r="H131" s="5" t="s">
        <v>30</v>
      </c>
      <c r="I131" s="5"/>
      <c r="J131" s="5"/>
      <c r="K131" s="5">
        <v>202</v>
      </c>
      <c r="L131" s="5">
        <v>2</v>
      </c>
      <c r="M131" s="5">
        <v>3</v>
      </c>
      <c r="N131" s="5" t="s">
        <v>4</v>
      </c>
      <c r="O131" s="5">
        <v>2</v>
      </c>
      <c r="P131" s="5">
        <f>ROUND(Source!DH128,O131)</f>
        <v>8030975.1100000003</v>
      </c>
      <c r="Q131" s="5"/>
      <c r="R131" s="5"/>
      <c r="S131" s="5"/>
      <c r="T131" s="5"/>
      <c r="U131" s="5"/>
      <c r="V131" s="5"/>
      <c r="W131" s="5">
        <v>1104196.56</v>
      </c>
      <c r="X131" s="5">
        <v>1</v>
      </c>
      <c r="Y131" s="5">
        <v>1104196.56</v>
      </c>
      <c r="Z131" s="5">
        <v>8030975.1100000003</v>
      </c>
      <c r="AA131" s="5">
        <v>1</v>
      </c>
      <c r="AB131" s="5">
        <v>8030975.1100000003</v>
      </c>
    </row>
    <row r="132" spans="1:28">
      <c r="A132" s="5">
        <v>50</v>
      </c>
      <c r="B132" s="5">
        <v>0</v>
      </c>
      <c r="C132" s="5">
        <v>0</v>
      </c>
      <c r="D132" s="5">
        <v>1</v>
      </c>
      <c r="E132" s="5">
        <v>222</v>
      </c>
      <c r="F132" s="5">
        <f>ROUND(Source!AO128,O132)</f>
        <v>0</v>
      </c>
      <c r="G132" s="5" t="s">
        <v>31</v>
      </c>
      <c r="H132" s="5" t="s">
        <v>32</v>
      </c>
      <c r="I132" s="5"/>
      <c r="J132" s="5"/>
      <c r="K132" s="5">
        <v>222</v>
      </c>
      <c r="L132" s="5">
        <v>3</v>
      </c>
      <c r="M132" s="5">
        <v>3</v>
      </c>
      <c r="N132" s="5" t="s">
        <v>4</v>
      </c>
      <c r="O132" s="5">
        <v>2</v>
      </c>
      <c r="P132" s="5">
        <f>ROUND(Source!EG128,O132)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8">
      <c r="A133" s="5">
        <v>50</v>
      </c>
      <c r="B133" s="5">
        <v>0</v>
      </c>
      <c r="C133" s="5">
        <v>0</v>
      </c>
      <c r="D133" s="5">
        <v>1</v>
      </c>
      <c r="E133" s="5">
        <v>225</v>
      </c>
      <c r="F133" s="5">
        <f>ROUND(Source!AV128,O133)</f>
        <v>1104196.56</v>
      </c>
      <c r="G133" s="5" t="s">
        <v>33</v>
      </c>
      <c r="H133" s="5" t="s">
        <v>34</v>
      </c>
      <c r="I133" s="5"/>
      <c r="J133" s="5"/>
      <c r="K133" s="5">
        <v>225</v>
      </c>
      <c r="L133" s="5">
        <v>4</v>
      </c>
      <c r="M133" s="5">
        <v>3</v>
      </c>
      <c r="N133" s="5" t="s">
        <v>4</v>
      </c>
      <c r="O133" s="5">
        <v>2</v>
      </c>
      <c r="P133" s="5">
        <f>ROUND(Source!EN128,O133)</f>
        <v>8030975.1100000003</v>
      </c>
      <c r="Q133" s="5"/>
      <c r="R133" s="5"/>
      <c r="S133" s="5"/>
      <c r="T133" s="5"/>
      <c r="U133" s="5"/>
      <c r="V133" s="5"/>
      <c r="W133" s="5">
        <v>1104196.56</v>
      </c>
      <c r="X133" s="5">
        <v>1</v>
      </c>
      <c r="Y133" s="5">
        <v>1104196.56</v>
      </c>
      <c r="Z133" s="5">
        <v>8030975.1100000003</v>
      </c>
      <c r="AA133" s="5">
        <v>1</v>
      </c>
      <c r="AB133" s="5">
        <v>8030975.1100000003</v>
      </c>
    </row>
    <row r="134" spans="1:28">
      <c r="A134" s="5">
        <v>50</v>
      </c>
      <c r="B134" s="5">
        <v>0</v>
      </c>
      <c r="C134" s="5">
        <v>0</v>
      </c>
      <c r="D134" s="5">
        <v>1</v>
      </c>
      <c r="E134" s="5">
        <v>226</v>
      </c>
      <c r="F134" s="5">
        <f>ROUND(Source!AW128,O134)</f>
        <v>174.44</v>
      </c>
      <c r="G134" s="5" t="s">
        <v>35</v>
      </c>
      <c r="H134" s="5" t="s">
        <v>36</v>
      </c>
      <c r="I134" s="5"/>
      <c r="J134" s="5"/>
      <c r="K134" s="5">
        <v>226</v>
      </c>
      <c r="L134" s="5">
        <v>5</v>
      </c>
      <c r="M134" s="5">
        <v>3</v>
      </c>
      <c r="N134" s="5" t="s">
        <v>4</v>
      </c>
      <c r="O134" s="5">
        <v>2</v>
      </c>
      <c r="P134" s="5">
        <f>ROUND(Source!EO128,O134)</f>
        <v>4734.3</v>
      </c>
      <c r="Q134" s="5"/>
      <c r="R134" s="5"/>
      <c r="S134" s="5"/>
      <c r="T134" s="5"/>
      <c r="U134" s="5"/>
      <c r="V134" s="5"/>
      <c r="W134" s="5">
        <v>174.44</v>
      </c>
      <c r="X134" s="5">
        <v>1</v>
      </c>
      <c r="Y134" s="5">
        <v>174.44</v>
      </c>
      <c r="Z134" s="5">
        <v>4734.3</v>
      </c>
      <c r="AA134" s="5">
        <v>1</v>
      </c>
      <c r="AB134" s="5">
        <v>4734.3</v>
      </c>
    </row>
    <row r="135" spans="1:28">
      <c r="A135" s="5">
        <v>50</v>
      </c>
      <c r="B135" s="5">
        <v>0</v>
      </c>
      <c r="C135" s="5">
        <v>0</v>
      </c>
      <c r="D135" s="5">
        <v>1</v>
      </c>
      <c r="E135" s="5">
        <v>227</v>
      </c>
      <c r="F135" s="5">
        <f>ROUND(Source!AX128,O135)</f>
        <v>0</v>
      </c>
      <c r="G135" s="5" t="s">
        <v>37</v>
      </c>
      <c r="H135" s="5" t="s">
        <v>38</v>
      </c>
      <c r="I135" s="5"/>
      <c r="J135" s="5"/>
      <c r="K135" s="5">
        <v>227</v>
      </c>
      <c r="L135" s="5">
        <v>6</v>
      </c>
      <c r="M135" s="5">
        <v>3</v>
      </c>
      <c r="N135" s="5" t="s">
        <v>4</v>
      </c>
      <c r="O135" s="5">
        <v>2</v>
      </c>
      <c r="P135" s="5">
        <f>ROUND(Source!EP128,O135)</f>
        <v>0</v>
      </c>
      <c r="Q135" s="5"/>
      <c r="R135" s="5"/>
      <c r="S135" s="5"/>
      <c r="T135" s="5"/>
      <c r="U135" s="5"/>
      <c r="V135" s="5"/>
      <c r="W135" s="5">
        <v>0</v>
      </c>
      <c r="X135" s="5">
        <v>1</v>
      </c>
      <c r="Y135" s="5">
        <v>0</v>
      </c>
      <c r="Z135" s="5">
        <v>0</v>
      </c>
      <c r="AA135" s="5">
        <v>1</v>
      </c>
      <c r="AB135" s="5">
        <v>0</v>
      </c>
    </row>
    <row r="136" spans="1:28">
      <c r="A136" s="5">
        <v>50</v>
      </c>
      <c r="B136" s="5">
        <v>0</v>
      </c>
      <c r="C136" s="5">
        <v>0</v>
      </c>
      <c r="D136" s="5">
        <v>1</v>
      </c>
      <c r="E136" s="5">
        <v>228</v>
      </c>
      <c r="F136" s="5">
        <f>ROUND(Source!AY128,O136)</f>
        <v>174.44</v>
      </c>
      <c r="G136" s="5" t="s">
        <v>39</v>
      </c>
      <c r="H136" s="5" t="s">
        <v>40</v>
      </c>
      <c r="I136" s="5"/>
      <c r="J136" s="5"/>
      <c r="K136" s="5">
        <v>228</v>
      </c>
      <c r="L136" s="5">
        <v>7</v>
      </c>
      <c r="M136" s="5">
        <v>3</v>
      </c>
      <c r="N136" s="5" t="s">
        <v>4</v>
      </c>
      <c r="O136" s="5">
        <v>2</v>
      </c>
      <c r="P136" s="5">
        <f>ROUND(Source!EQ128,O136)</f>
        <v>4734.3</v>
      </c>
      <c r="Q136" s="5"/>
      <c r="R136" s="5"/>
      <c r="S136" s="5"/>
      <c r="T136" s="5"/>
      <c r="U136" s="5"/>
      <c r="V136" s="5"/>
      <c r="W136" s="5">
        <v>174.44</v>
      </c>
      <c r="X136" s="5">
        <v>1</v>
      </c>
      <c r="Y136" s="5">
        <v>174.44</v>
      </c>
      <c r="Z136" s="5">
        <v>4734.3</v>
      </c>
      <c r="AA136" s="5">
        <v>1</v>
      </c>
      <c r="AB136" s="5">
        <v>4734.3</v>
      </c>
    </row>
    <row r="137" spans="1:28">
      <c r="A137" s="5">
        <v>50</v>
      </c>
      <c r="B137" s="5">
        <v>0</v>
      </c>
      <c r="C137" s="5">
        <v>0</v>
      </c>
      <c r="D137" s="5">
        <v>1</v>
      </c>
      <c r="E137" s="5">
        <v>216</v>
      </c>
      <c r="F137" s="5">
        <f>ROUND(Source!AP128,O137)</f>
        <v>1104022.1200000001</v>
      </c>
      <c r="G137" s="5" t="s">
        <v>41</v>
      </c>
      <c r="H137" s="5" t="s">
        <v>42</v>
      </c>
      <c r="I137" s="5"/>
      <c r="J137" s="5"/>
      <c r="K137" s="5">
        <v>216</v>
      </c>
      <c r="L137" s="5">
        <v>8</v>
      </c>
      <c r="M137" s="5">
        <v>3</v>
      </c>
      <c r="N137" s="5" t="s">
        <v>4</v>
      </c>
      <c r="O137" s="5">
        <v>2</v>
      </c>
      <c r="P137" s="5">
        <f>ROUND(Source!EH128,O137)</f>
        <v>8026240.8099999996</v>
      </c>
      <c r="Q137" s="5"/>
      <c r="R137" s="5"/>
      <c r="S137" s="5"/>
      <c r="T137" s="5"/>
      <c r="U137" s="5"/>
      <c r="V137" s="5"/>
      <c r="W137" s="5">
        <v>1104022.1200000001</v>
      </c>
      <c r="X137" s="5">
        <v>1</v>
      </c>
      <c r="Y137" s="5">
        <v>1104022.1200000001</v>
      </c>
      <c r="Z137" s="5">
        <v>8026240.8099999996</v>
      </c>
      <c r="AA137" s="5">
        <v>1</v>
      </c>
      <c r="AB137" s="5">
        <v>8026240.8099999996</v>
      </c>
    </row>
    <row r="138" spans="1:28">
      <c r="A138" s="5">
        <v>50</v>
      </c>
      <c r="B138" s="5">
        <v>0</v>
      </c>
      <c r="C138" s="5">
        <v>0</v>
      </c>
      <c r="D138" s="5">
        <v>1</v>
      </c>
      <c r="E138" s="5">
        <v>223</v>
      </c>
      <c r="F138" s="5">
        <f>ROUND(Source!AQ128,O138)</f>
        <v>0</v>
      </c>
      <c r="G138" s="5" t="s">
        <v>43</v>
      </c>
      <c r="H138" s="5" t="s">
        <v>44</v>
      </c>
      <c r="I138" s="5"/>
      <c r="J138" s="5"/>
      <c r="K138" s="5">
        <v>223</v>
      </c>
      <c r="L138" s="5">
        <v>9</v>
      </c>
      <c r="M138" s="5">
        <v>3</v>
      </c>
      <c r="N138" s="5" t="s">
        <v>4</v>
      </c>
      <c r="O138" s="5">
        <v>2</v>
      </c>
      <c r="P138" s="5">
        <f>ROUND(Source!EI128,O138)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8">
      <c r="A139" s="5">
        <v>50</v>
      </c>
      <c r="B139" s="5">
        <v>0</v>
      </c>
      <c r="C139" s="5">
        <v>0</v>
      </c>
      <c r="D139" s="5">
        <v>1</v>
      </c>
      <c r="E139" s="5">
        <v>229</v>
      </c>
      <c r="F139" s="5">
        <f>ROUND(Source!AZ128,O139)</f>
        <v>1104022.1200000001</v>
      </c>
      <c r="G139" s="5" t="s">
        <v>45</v>
      </c>
      <c r="H139" s="5" t="s">
        <v>46</v>
      </c>
      <c r="I139" s="5"/>
      <c r="J139" s="5"/>
      <c r="K139" s="5">
        <v>229</v>
      </c>
      <c r="L139" s="5">
        <v>10</v>
      </c>
      <c r="M139" s="5">
        <v>3</v>
      </c>
      <c r="N139" s="5" t="s">
        <v>4</v>
      </c>
      <c r="O139" s="5">
        <v>2</v>
      </c>
      <c r="P139" s="5">
        <f>ROUND(Source!ER128,O139)</f>
        <v>8026240.8099999996</v>
      </c>
      <c r="Q139" s="5"/>
      <c r="R139" s="5"/>
      <c r="S139" s="5"/>
      <c r="T139" s="5"/>
      <c r="U139" s="5"/>
      <c r="V139" s="5"/>
      <c r="W139" s="5">
        <v>1104022.1200000001</v>
      </c>
      <c r="X139" s="5">
        <v>1</v>
      </c>
      <c r="Y139" s="5">
        <v>1104022.1200000001</v>
      </c>
      <c r="Z139" s="5">
        <v>8026240.8099999996</v>
      </c>
      <c r="AA139" s="5">
        <v>1</v>
      </c>
      <c r="AB139" s="5">
        <v>8026240.8099999996</v>
      </c>
    </row>
    <row r="140" spans="1:28">
      <c r="A140" s="5">
        <v>50</v>
      </c>
      <c r="B140" s="5">
        <v>0</v>
      </c>
      <c r="C140" s="5">
        <v>0</v>
      </c>
      <c r="D140" s="5">
        <v>1</v>
      </c>
      <c r="E140" s="5">
        <v>203</v>
      </c>
      <c r="F140" s="5">
        <f>ROUND(Source!Q128,O140)</f>
        <v>1523.43</v>
      </c>
      <c r="G140" s="5" t="s">
        <v>47</v>
      </c>
      <c r="H140" s="5" t="s">
        <v>48</v>
      </c>
      <c r="I140" s="5"/>
      <c r="J140" s="5"/>
      <c r="K140" s="5">
        <v>203</v>
      </c>
      <c r="L140" s="5">
        <v>11</v>
      </c>
      <c r="M140" s="5">
        <v>3</v>
      </c>
      <c r="N140" s="5" t="s">
        <v>4</v>
      </c>
      <c r="O140" s="5">
        <v>2</v>
      </c>
      <c r="P140" s="5">
        <f>ROUND(Source!DI128,O140)</f>
        <v>29783.06</v>
      </c>
      <c r="Q140" s="5"/>
      <c r="R140" s="5"/>
      <c r="S140" s="5"/>
      <c r="T140" s="5"/>
      <c r="U140" s="5"/>
      <c r="V140" s="5"/>
      <c r="W140" s="5">
        <v>1523.43</v>
      </c>
      <c r="X140" s="5">
        <v>1</v>
      </c>
      <c r="Y140" s="5">
        <v>1523.43</v>
      </c>
      <c r="Z140" s="5">
        <v>29783.06</v>
      </c>
      <c r="AA140" s="5">
        <v>1</v>
      </c>
      <c r="AB140" s="5">
        <v>29783.06</v>
      </c>
    </row>
    <row r="141" spans="1:28">
      <c r="A141" s="5">
        <v>50</v>
      </c>
      <c r="B141" s="5">
        <v>0</v>
      </c>
      <c r="C141" s="5">
        <v>0</v>
      </c>
      <c r="D141" s="5">
        <v>1</v>
      </c>
      <c r="E141" s="5">
        <v>231</v>
      </c>
      <c r="F141" s="5">
        <f>ROUND(Source!BB128,O141)</f>
        <v>0</v>
      </c>
      <c r="G141" s="5" t="s">
        <v>49</v>
      </c>
      <c r="H141" s="5" t="s">
        <v>50</v>
      </c>
      <c r="I141" s="5"/>
      <c r="J141" s="5"/>
      <c r="K141" s="5">
        <v>231</v>
      </c>
      <c r="L141" s="5">
        <v>12</v>
      </c>
      <c r="M141" s="5">
        <v>3</v>
      </c>
      <c r="N141" s="5" t="s">
        <v>4</v>
      </c>
      <c r="O141" s="5">
        <v>2</v>
      </c>
      <c r="P141" s="5">
        <f>ROUND(Source!ET128,O141)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>
      <c r="A142" s="5">
        <v>50</v>
      </c>
      <c r="B142" s="5">
        <v>0</v>
      </c>
      <c r="C142" s="5">
        <v>0</v>
      </c>
      <c r="D142" s="5">
        <v>1</v>
      </c>
      <c r="E142" s="5">
        <v>204</v>
      </c>
      <c r="F142" s="5">
        <f>ROUND(Source!R128,O142)</f>
        <v>409.15</v>
      </c>
      <c r="G142" s="5" t="s">
        <v>51</v>
      </c>
      <c r="H142" s="5" t="s">
        <v>52</v>
      </c>
      <c r="I142" s="5"/>
      <c r="J142" s="5"/>
      <c r="K142" s="5">
        <v>204</v>
      </c>
      <c r="L142" s="5">
        <v>13</v>
      </c>
      <c r="M142" s="5">
        <v>3</v>
      </c>
      <c r="N142" s="5" t="s">
        <v>4</v>
      </c>
      <c r="O142" s="5">
        <v>2</v>
      </c>
      <c r="P142" s="5">
        <f>ROUND(Source!DJ128,O142)</f>
        <v>19095.03</v>
      </c>
      <c r="Q142" s="5"/>
      <c r="R142" s="5"/>
      <c r="S142" s="5"/>
      <c r="T142" s="5"/>
      <c r="U142" s="5"/>
      <c r="V142" s="5"/>
      <c r="W142" s="5">
        <v>409.15</v>
      </c>
      <c r="X142" s="5">
        <v>1</v>
      </c>
      <c r="Y142" s="5">
        <v>409.15</v>
      </c>
      <c r="Z142" s="5">
        <v>19095.03</v>
      </c>
      <c r="AA142" s="5">
        <v>1</v>
      </c>
      <c r="AB142" s="5">
        <v>19095.03</v>
      </c>
    </row>
    <row r="143" spans="1:28">
      <c r="A143" s="5">
        <v>50</v>
      </c>
      <c r="B143" s="5">
        <v>0</v>
      </c>
      <c r="C143" s="5">
        <v>0</v>
      </c>
      <c r="D143" s="5">
        <v>1</v>
      </c>
      <c r="E143" s="5">
        <v>205</v>
      </c>
      <c r="F143" s="5">
        <f>ROUND(Source!S128,O143)</f>
        <v>761.09</v>
      </c>
      <c r="G143" s="5" t="s">
        <v>53</v>
      </c>
      <c r="H143" s="5" t="s">
        <v>54</v>
      </c>
      <c r="I143" s="5"/>
      <c r="J143" s="5"/>
      <c r="K143" s="5">
        <v>205</v>
      </c>
      <c r="L143" s="5">
        <v>14</v>
      </c>
      <c r="M143" s="5">
        <v>3</v>
      </c>
      <c r="N143" s="5" t="s">
        <v>4</v>
      </c>
      <c r="O143" s="5">
        <v>2</v>
      </c>
      <c r="P143" s="5">
        <f>ROUND(Source!DK128,O143)</f>
        <v>35520.07</v>
      </c>
      <c r="Q143" s="5"/>
      <c r="R143" s="5"/>
      <c r="S143" s="5"/>
      <c r="T143" s="5"/>
      <c r="U143" s="5"/>
      <c r="V143" s="5"/>
      <c r="W143" s="5">
        <v>761.09</v>
      </c>
      <c r="X143" s="5">
        <v>1</v>
      </c>
      <c r="Y143" s="5">
        <v>761.09</v>
      </c>
      <c r="Z143" s="5">
        <v>35520.07</v>
      </c>
      <c r="AA143" s="5">
        <v>1</v>
      </c>
      <c r="AB143" s="5">
        <v>35520.07</v>
      </c>
    </row>
    <row r="144" spans="1:28">
      <c r="A144" s="5">
        <v>50</v>
      </c>
      <c r="B144" s="5">
        <v>0</v>
      </c>
      <c r="C144" s="5">
        <v>0</v>
      </c>
      <c r="D144" s="5">
        <v>1</v>
      </c>
      <c r="E144" s="5">
        <v>232</v>
      </c>
      <c r="F144" s="5">
        <f>ROUND(Source!BC128,O144)</f>
        <v>0</v>
      </c>
      <c r="G144" s="5" t="s">
        <v>55</v>
      </c>
      <c r="H144" s="5" t="s">
        <v>56</v>
      </c>
      <c r="I144" s="5"/>
      <c r="J144" s="5"/>
      <c r="K144" s="5">
        <v>232</v>
      </c>
      <c r="L144" s="5">
        <v>15</v>
      </c>
      <c r="M144" s="5">
        <v>3</v>
      </c>
      <c r="N144" s="5" t="s">
        <v>4</v>
      </c>
      <c r="O144" s="5">
        <v>2</v>
      </c>
      <c r="P144" s="5">
        <f>ROUND(Source!EU128,O144)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214</v>
      </c>
      <c r="F145" s="5">
        <f>ROUND(Source!AS128,O145)</f>
        <v>0</v>
      </c>
      <c r="G145" s="5" t="s">
        <v>57</v>
      </c>
      <c r="H145" s="5" t="s">
        <v>58</v>
      </c>
      <c r="I145" s="5"/>
      <c r="J145" s="5"/>
      <c r="K145" s="5">
        <v>214</v>
      </c>
      <c r="L145" s="5">
        <v>16</v>
      </c>
      <c r="M145" s="5">
        <v>3</v>
      </c>
      <c r="N145" s="5" t="s">
        <v>4</v>
      </c>
      <c r="O145" s="5">
        <v>2</v>
      </c>
      <c r="P145" s="5">
        <f>ROUND(Source!EK128,O145)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215</v>
      </c>
      <c r="F146" s="5">
        <f>ROUND(Source!AT128,O146)</f>
        <v>4560.1499999999996</v>
      </c>
      <c r="G146" s="5" t="s">
        <v>59</v>
      </c>
      <c r="H146" s="5" t="s">
        <v>60</v>
      </c>
      <c r="I146" s="5"/>
      <c r="J146" s="5"/>
      <c r="K146" s="5">
        <v>215</v>
      </c>
      <c r="L146" s="5">
        <v>17</v>
      </c>
      <c r="M146" s="5">
        <v>3</v>
      </c>
      <c r="N146" s="5" t="s">
        <v>4</v>
      </c>
      <c r="O146" s="5">
        <v>2</v>
      </c>
      <c r="P146" s="5">
        <f>ROUND(Source!EL128,O146)</f>
        <v>148541.57</v>
      </c>
      <c r="Q146" s="5"/>
      <c r="R146" s="5"/>
      <c r="S146" s="5"/>
      <c r="T146" s="5"/>
      <c r="U146" s="5"/>
      <c r="V146" s="5"/>
      <c r="W146" s="5">
        <v>4560.1499999999996</v>
      </c>
      <c r="X146" s="5">
        <v>1</v>
      </c>
      <c r="Y146" s="5">
        <v>4560.1499999999996</v>
      </c>
      <c r="Z146" s="5">
        <v>148541.57</v>
      </c>
      <c r="AA146" s="5">
        <v>1</v>
      </c>
      <c r="AB146" s="5">
        <v>148541.57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217</v>
      </c>
      <c r="F147" s="5">
        <f>ROUND(Source!AU128,O147)</f>
        <v>0</v>
      </c>
      <c r="G147" s="5" t="s">
        <v>61</v>
      </c>
      <c r="H147" s="5" t="s">
        <v>62</v>
      </c>
      <c r="I147" s="5"/>
      <c r="J147" s="5"/>
      <c r="K147" s="5">
        <v>217</v>
      </c>
      <c r="L147" s="5">
        <v>18</v>
      </c>
      <c r="M147" s="5">
        <v>3</v>
      </c>
      <c r="N147" s="5" t="s">
        <v>4</v>
      </c>
      <c r="O147" s="5">
        <v>2</v>
      </c>
      <c r="P147" s="5">
        <f>ROUND(Source!EM128,O147)</f>
        <v>0</v>
      </c>
      <c r="Q147" s="5"/>
      <c r="R147" s="5"/>
      <c r="S147" s="5"/>
      <c r="T147" s="5"/>
      <c r="U147" s="5"/>
      <c r="V147" s="5"/>
      <c r="W147" s="5">
        <v>0</v>
      </c>
      <c r="X147" s="5">
        <v>1</v>
      </c>
      <c r="Y147" s="5">
        <v>0</v>
      </c>
      <c r="Z147" s="5">
        <v>0</v>
      </c>
      <c r="AA147" s="5">
        <v>1</v>
      </c>
      <c r="AB147" s="5">
        <v>0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230</v>
      </c>
      <c r="F148" s="5">
        <f>ROUND(Source!BA128,O148)</f>
        <v>0</v>
      </c>
      <c r="G148" s="5" t="s">
        <v>63</v>
      </c>
      <c r="H148" s="5" t="s">
        <v>64</v>
      </c>
      <c r="I148" s="5"/>
      <c r="J148" s="5"/>
      <c r="K148" s="5">
        <v>230</v>
      </c>
      <c r="L148" s="5">
        <v>19</v>
      </c>
      <c r="M148" s="5">
        <v>3</v>
      </c>
      <c r="N148" s="5" t="s">
        <v>4</v>
      </c>
      <c r="O148" s="5">
        <v>2</v>
      </c>
      <c r="P148" s="5">
        <f>ROUND(Source!ES128,O148)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206</v>
      </c>
      <c r="F149" s="5">
        <f>ROUND(Source!T128,O149)</f>
        <v>0</v>
      </c>
      <c r="G149" s="5" t="s">
        <v>65</v>
      </c>
      <c r="H149" s="5" t="s">
        <v>66</v>
      </c>
      <c r="I149" s="5"/>
      <c r="J149" s="5"/>
      <c r="K149" s="5">
        <v>206</v>
      </c>
      <c r="L149" s="5">
        <v>20</v>
      </c>
      <c r="M149" s="5">
        <v>3</v>
      </c>
      <c r="N149" s="5" t="s">
        <v>4</v>
      </c>
      <c r="O149" s="5">
        <v>2</v>
      </c>
      <c r="P149" s="5">
        <f>ROUND(Source!DL128,O149)</f>
        <v>0</v>
      </c>
      <c r="Q149" s="5"/>
      <c r="R149" s="5"/>
      <c r="S149" s="5"/>
      <c r="T149" s="5"/>
      <c r="U149" s="5"/>
      <c r="V149" s="5"/>
      <c r="W149" s="5">
        <v>0</v>
      </c>
      <c r="X149" s="5">
        <v>1</v>
      </c>
      <c r="Y149" s="5">
        <v>0</v>
      </c>
      <c r="Z149" s="5">
        <v>0</v>
      </c>
      <c r="AA149" s="5">
        <v>1</v>
      </c>
      <c r="AB149" s="5">
        <v>0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207</v>
      </c>
      <c r="F150" s="5">
        <f>Source!U128</f>
        <v>60.307199999999995</v>
      </c>
      <c r="G150" s="5" t="s">
        <v>67</v>
      </c>
      <c r="H150" s="5" t="s">
        <v>68</v>
      </c>
      <c r="I150" s="5"/>
      <c r="J150" s="5"/>
      <c r="K150" s="5">
        <v>207</v>
      </c>
      <c r="L150" s="5">
        <v>21</v>
      </c>
      <c r="M150" s="5">
        <v>3</v>
      </c>
      <c r="N150" s="5" t="s">
        <v>4</v>
      </c>
      <c r="O150" s="5">
        <v>-1</v>
      </c>
      <c r="P150" s="5">
        <f>Source!DM128</f>
        <v>60.307199999999995</v>
      </c>
      <c r="Q150" s="5"/>
      <c r="R150" s="5"/>
      <c r="S150" s="5"/>
      <c r="T150" s="5"/>
      <c r="U150" s="5"/>
      <c r="V150" s="5"/>
      <c r="W150" s="5">
        <v>60.307200000000002</v>
      </c>
      <c r="X150" s="5">
        <v>1</v>
      </c>
      <c r="Y150" s="5">
        <v>60.307200000000002</v>
      </c>
      <c r="Z150" s="5">
        <v>60.307200000000002</v>
      </c>
      <c r="AA150" s="5">
        <v>1</v>
      </c>
      <c r="AB150" s="5">
        <v>60.307200000000002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208</v>
      </c>
      <c r="F151" s="5">
        <f>Source!V128</f>
        <v>0</v>
      </c>
      <c r="G151" s="5" t="s">
        <v>69</v>
      </c>
      <c r="H151" s="5" t="s">
        <v>70</v>
      </c>
      <c r="I151" s="5"/>
      <c r="J151" s="5"/>
      <c r="K151" s="5">
        <v>208</v>
      </c>
      <c r="L151" s="5">
        <v>22</v>
      </c>
      <c r="M151" s="5">
        <v>3</v>
      </c>
      <c r="N151" s="5" t="s">
        <v>4</v>
      </c>
      <c r="O151" s="5">
        <v>-1</v>
      </c>
      <c r="P151" s="5">
        <f>Source!DN128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209</v>
      </c>
      <c r="F152" s="5">
        <f>ROUND(Source!W128,O152)</f>
        <v>0</v>
      </c>
      <c r="G152" s="5" t="s">
        <v>71</v>
      </c>
      <c r="H152" s="5" t="s">
        <v>72</v>
      </c>
      <c r="I152" s="5"/>
      <c r="J152" s="5"/>
      <c r="K152" s="5">
        <v>209</v>
      </c>
      <c r="L152" s="5">
        <v>23</v>
      </c>
      <c r="M152" s="5">
        <v>3</v>
      </c>
      <c r="N152" s="5" t="s">
        <v>4</v>
      </c>
      <c r="O152" s="5">
        <v>2</v>
      </c>
      <c r="P152" s="5">
        <f>ROUND(Source!DO128,O152)</f>
        <v>0</v>
      </c>
      <c r="Q152" s="5"/>
      <c r="R152" s="5"/>
      <c r="S152" s="5"/>
      <c r="T152" s="5"/>
      <c r="U152" s="5"/>
      <c r="V152" s="5"/>
      <c r="W152" s="5">
        <v>0</v>
      </c>
      <c r="X152" s="5">
        <v>1</v>
      </c>
      <c r="Y152" s="5">
        <v>0</v>
      </c>
      <c r="Z152" s="5">
        <v>0</v>
      </c>
      <c r="AA152" s="5">
        <v>1</v>
      </c>
      <c r="AB152" s="5">
        <v>0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233</v>
      </c>
      <c r="F153" s="5">
        <f>ROUND(Source!BD128,O153)</f>
        <v>0</v>
      </c>
      <c r="G153" s="5" t="s">
        <v>73</v>
      </c>
      <c r="H153" s="5" t="s">
        <v>74</v>
      </c>
      <c r="I153" s="5"/>
      <c r="J153" s="5"/>
      <c r="K153" s="5">
        <v>233</v>
      </c>
      <c r="L153" s="5">
        <v>24</v>
      </c>
      <c r="M153" s="5">
        <v>3</v>
      </c>
      <c r="N153" s="5" t="s">
        <v>4</v>
      </c>
      <c r="O153" s="5">
        <v>2</v>
      </c>
      <c r="P153" s="5">
        <f>ROUND(Source!EV128,O153)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210</v>
      </c>
      <c r="F154" s="5">
        <f>ROUND(Source!X128,O154)</f>
        <v>852.42</v>
      </c>
      <c r="G154" s="5" t="s">
        <v>75</v>
      </c>
      <c r="H154" s="5" t="s">
        <v>76</v>
      </c>
      <c r="I154" s="5"/>
      <c r="J154" s="5"/>
      <c r="K154" s="5">
        <v>210</v>
      </c>
      <c r="L154" s="5">
        <v>25</v>
      </c>
      <c r="M154" s="5">
        <v>3</v>
      </c>
      <c r="N154" s="5" t="s">
        <v>4</v>
      </c>
      <c r="O154" s="5">
        <v>2</v>
      </c>
      <c r="P154" s="5">
        <f>ROUND(Source!DP128,O154)</f>
        <v>32678.46</v>
      </c>
      <c r="Q154" s="5"/>
      <c r="R154" s="5"/>
      <c r="S154" s="5"/>
      <c r="T154" s="5"/>
      <c r="U154" s="5"/>
      <c r="V154" s="5"/>
      <c r="W154" s="5">
        <v>852.42</v>
      </c>
      <c r="X154" s="5">
        <v>1</v>
      </c>
      <c r="Y154" s="5">
        <v>852.42</v>
      </c>
      <c r="Z154" s="5">
        <v>32678.46</v>
      </c>
      <c r="AA154" s="5">
        <v>1</v>
      </c>
      <c r="AB154" s="5">
        <v>32678.46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211</v>
      </c>
      <c r="F155" s="5">
        <f>ROUND(Source!Y128,O155)</f>
        <v>532.76</v>
      </c>
      <c r="G155" s="5" t="s">
        <v>77</v>
      </c>
      <c r="H155" s="5" t="s">
        <v>78</v>
      </c>
      <c r="I155" s="5"/>
      <c r="J155" s="5"/>
      <c r="K155" s="5">
        <v>211</v>
      </c>
      <c r="L155" s="5">
        <v>26</v>
      </c>
      <c r="M155" s="5">
        <v>3</v>
      </c>
      <c r="N155" s="5" t="s">
        <v>4</v>
      </c>
      <c r="O155" s="5">
        <v>2</v>
      </c>
      <c r="P155" s="5">
        <f>ROUND(Source!DQ128,O155)</f>
        <v>15273.63</v>
      </c>
      <c r="Q155" s="5"/>
      <c r="R155" s="5"/>
      <c r="S155" s="5"/>
      <c r="T155" s="5"/>
      <c r="U155" s="5"/>
      <c r="V155" s="5"/>
      <c r="W155" s="5">
        <v>532.76</v>
      </c>
      <c r="X155" s="5">
        <v>1</v>
      </c>
      <c r="Y155" s="5">
        <v>532.76</v>
      </c>
      <c r="Z155" s="5">
        <v>15273.63</v>
      </c>
      <c r="AA155" s="5">
        <v>1</v>
      </c>
      <c r="AB155" s="5">
        <v>15273.63</v>
      </c>
    </row>
    <row r="156" spans="1:28">
      <c r="A156" s="5">
        <v>50</v>
      </c>
      <c r="B156" s="5">
        <v>0</v>
      </c>
      <c r="C156" s="5">
        <v>0</v>
      </c>
      <c r="D156" s="5">
        <v>1</v>
      </c>
      <c r="E156" s="5">
        <v>224</v>
      </c>
      <c r="F156" s="5">
        <f>ROUND(Source!AR128,O156)</f>
        <v>1108582.27</v>
      </c>
      <c r="G156" s="5" t="s">
        <v>79</v>
      </c>
      <c r="H156" s="5" t="s">
        <v>80</v>
      </c>
      <c r="I156" s="5"/>
      <c r="J156" s="5"/>
      <c r="K156" s="5">
        <v>224</v>
      </c>
      <c r="L156" s="5">
        <v>27</v>
      </c>
      <c r="M156" s="5">
        <v>3</v>
      </c>
      <c r="N156" s="5" t="s">
        <v>4</v>
      </c>
      <c r="O156" s="5">
        <v>2</v>
      </c>
      <c r="P156" s="5">
        <f>ROUND(Source!EJ128,O156)</f>
        <v>8174782.3799999999</v>
      </c>
      <c r="Q156" s="5"/>
      <c r="R156" s="5"/>
      <c r="S156" s="5"/>
      <c r="T156" s="5"/>
      <c r="U156" s="5"/>
      <c r="V156" s="5"/>
      <c r="W156" s="5">
        <v>1108582.27</v>
      </c>
      <c r="X156" s="5">
        <v>1</v>
      </c>
      <c r="Y156" s="5">
        <v>1108582.27</v>
      </c>
      <c r="Z156" s="5">
        <v>8174782.3799999999</v>
      </c>
      <c r="AA156" s="5">
        <v>1</v>
      </c>
      <c r="AB156" s="5">
        <v>8174782.3799999999</v>
      </c>
    </row>
    <row r="157" spans="1:28">
      <c r="A157" s="5">
        <v>50</v>
      </c>
      <c r="B157" s="5">
        <v>1</v>
      </c>
      <c r="C157" s="5">
        <v>0</v>
      </c>
      <c r="D157" s="5">
        <v>2</v>
      </c>
      <c r="E157" s="5">
        <v>0</v>
      </c>
      <c r="F157" s="5">
        <f>F156-F158-F159</f>
        <v>1104022.1200000001</v>
      </c>
      <c r="G157" s="5" t="s">
        <v>91</v>
      </c>
      <c r="H157" s="5" t="s">
        <v>92</v>
      </c>
      <c r="I157" s="5"/>
      <c r="J157" s="5"/>
      <c r="K157" s="5">
        <v>212</v>
      </c>
      <c r="L157" s="5">
        <v>28</v>
      </c>
      <c r="M157" s="5">
        <v>0</v>
      </c>
      <c r="N157" s="5" t="s">
        <v>4</v>
      </c>
      <c r="O157" s="5">
        <v>-1</v>
      </c>
      <c r="P157" s="5">
        <f>P156-P158-P159</f>
        <v>8026240.8099999996</v>
      </c>
      <c r="Q157" s="5"/>
      <c r="R157" s="5"/>
      <c r="S157" s="5"/>
      <c r="T157" s="5"/>
      <c r="U157" s="5"/>
      <c r="V157" s="5"/>
      <c r="W157" s="5">
        <v>1104022.1200000001</v>
      </c>
      <c r="X157" s="5">
        <v>1</v>
      </c>
      <c r="Y157" s="5">
        <v>1104022.1200000001</v>
      </c>
      <c r="Z157" s="5">
        <v>8026240.8099999996</v>
      </c>
      <c r="AA157" s="5">
        <v>1</v>
      </c>
      <c r="AB157" s="5">
        <v>8026240.8099999996</v>
      </c>
    </row>
    <row r="158" spans="1:28">
      <c r="A158" s="5">
        <v>50</v>
      </c>
      <c r="B158" s="5">
        <v>1</v>
      </c>
      <c r="C158" s="5">
        <v>0</v>
      </c>
      <c r="D158" s="5">
        <v>2</v>
      </c>
      <c r="E158" s="5">
        <v>0</v>
      </c>
      <c r="F158" s="5">
        <f>ROUND(F116,O158)</f>
        <v>4560.1499999999996</v>
      </c>
      <c r="G158" s="5" t="s">
        <v>93</v>
      </c>
      <c r="H158" s="5" t="s">
        <v>18</v>
      </c>
      <c r="I158" s="5"/>
      <c r="J158" s="5"/>
      <c r="K158" s="5">
        <v>212</v>
      </c>
      <c r="L158" s="5">
        <v>29</v>
      </c>
      <c r="M158" s="5">
        <v>0</v>
      </c>
      <c r="N158" s="5" t="s">
        <v>4</v>
      </c>
      <c r="O158" s="5">
        <v>2</v>
      </c>
      <c r="P158" s="5">
        <f>ROUND(P116,O158)</f>
        <v>148541.57</v>
      </c>
      <c r="Q158" s="5"/>
      <c r="R158" s="5"/>
      <c r="S158" s="5"/>
      <c r="T158" s="5"/>
      <c r="U158" s="5"/>
      <c r="V158" s="5"/>
      <c r="W158" s="5">
        <v>4560.1499999999996</v>
      </c>
      <c r="X158" s="5">
        <v>1</v>
      </c>
      <c r="Y158" s="5">
        <v>4560.1499999999996</v>
      </c>
      <c r="Z158" s="5">
        <v>148541.57</v>
      </c>
      <c r="AA158" s="5">
        <v>1</v>
      </c>
      <c r="AB158" s="5">
        <v>148541.57</v>
      </c>
    </row>
    <row r="159" spans="1:28">
      <c r="A159" s="5">
        <v>50</v>
      </c>
      <c r="B159" s="5">
        <v>1</v>
      </c>
      <c r="C159" s="5">
        <v>0</v>
      </c>
      <c r="D159" s="5">
        <v>2</v>
      </c>
      <c r="E159" s="5">
        <v>0</v>
      </c>
      <c r="F159" s="5">
        <f>ROUND(F117,O159)</f>
        <v>0</v>
      </c>
      <c r="G159" s="5" t="s">
        <v>94</v>
      </c>
      <c r="H159" s="5" t="s">
        <v>95</v>
      </c>
      <c r="I159" s="5"/>
      <c r="J159" s="5"/>
      <c r="K159" s="5">
        <v>212</v>
      </c>
      <c r="L159" s="5">
        <v>30</v>
      </c>
      <c r="M159" s="5">
        <v>0</v>
      </c>
      <c r="N159" s="5" t="s">
        <v>4</v>
      </c>
      <c r="O159" s="5">
        <v>2</v>
      </c>
      <c r="P159" s="5">
        <f>ROUND(P117,O159)</f>
        <v>0</v>
      </c>
      <c r="Q159" s="5"/>
      <c r="R159" s="5"/>
      <c r="S159" s="5"/>
      <c r="T159" s="5"/>
      <c r="U159" s="5"/>
      <c r="V159" s="5"/>
      <c r="W159" s="5">
        <v>0</v>
      </c>
      <c r="X159" s="5">
        <v>1</v>
      </c>
      <c r="Y159" s="5">
        <v>0</v>
      </c>
      <c r="Z159" s="5">
        <v>0</v>
      </c>
      <c r="AA159" s="5">
        <v>1</v>
      </c>
      <c r="AB159" s="5">
        <v>0</v>
      </c>
    </row>
    <row r="162" spans="1:50">
      <c r="A162">
        <v>70</v>
      </c>
      <c r="B162">
        <v>1</v>
      </c>
      <c r="D162">
        <v>1</v>
      </c>
      <c r="E162" t="s">
        <v>96</v>
      </c>
      <c r="F162" t="s">
        <v>97</v>
      </c>
      <c r="G162">
        <v>0</v>
      </c>
      <c r="H162">
        <v>0</v>
      </c>
      <c r="I162" t="s">
        <v>4</v>
      </c>
      <c r="J162">
        <v>1</v>
      </c>
      <c r="K162">
        <v>0</v>
      </c>
      <c r="L162" t="s">
        <v>4</v>
      </c>
      <c r="M162" t="s">
        <v>4</v>
      </c>
      <c r="N162">
        <v>0</v>
      </c>
      <c r="O162">
        <v>0</v>
      </c>
      <c r="P162" t="s">
        <v>4</v>
      </c>
    </row>
    <row r="163" spans="1:50">
      <c r="A163">
        <v>70</v>
      </c>
      <c r="B163">
        <v>1</v>
      </c>
      <c r="D163">
        <v>2</v>
      </c>
      <c r="E163" t="s">
        <v>98</v>
      </c>
      <c r="F163" t="s">
        <v>99</v>
      </c>
      <c r="G163">
        <v>1</v>
      </c>
      <c r="H163">
        <v>0</v>
      </c>
      <c r="I163" t="s">
        <v>4</v>
      </c>
      <c r="J163">
        <v>1</v>
      </c>
      <c r="K163">
        <v>0</v>
      </c>
      <c r="L163" t="s">
        <v>4</v>
      </c>
      <c r="M163" t="s">
        <v>4</v>
      </c>
      <c r="N163">
        <v>0</v>
      </c>
      <c r="O163">
        <v>1</v>
      </c>
      <c r="P163" t="s">
        <v>4</v>
      </c>
    </row>
    <row r="165" spans="1:50">
      <c r="A165">
        <v>-1</v>
      </c>
    </row>
    <row r="167" spans="1:50">
      <c r="A167" s="4">
        <v>75</v>
      </c>
      <c r="B167" s="4" t="s">
        <v>100</v>
      </c>
      <c r="C167" s="4">
        <v>2025</v>
      </c>
      <c r="D167" s="4">
        <v>0</v>
      </c>
      <c r="E167" s="4">
        <v>1</v>
      </c>
      <c r="F167" s="4"/>
      <c r="G167" s="4">
        <v>0</v>
      </c>
      <c r="H167" s="4">
        <v>2</v>
      </c>
      <c r="I167" s="4">
        <v>1</v>
      </c>
      <c r="J167" s="4">
        <v>1</v>
      </c>
      <c r="K167" s="4">
        <v>95</v>
      </c>
      <c r="L167" s="4">
        <v>65</v>
      </c>
      <c r="M167" s="4">
        <v>1</v>
      </c>
      <c r="N167" s="4">
        <v>70314464</v>
      </c>
      <c r="O167" s="4">
        <v>1</v>
      </c>
    </row>
    <row r="168" spans="1:50">
      <c r="A168" s="6">
        <v>1</v>
      </c>
      <c r="B168" s="6" t="s">
        <v>101</v>
      </c>
      <c r="C168" s="6" t="s">
        <v>102</v>
      </c>
      <c r="D168" s="6">
        <v>2025</v>
      </c>
      <c r="E168" s="6">
        <v>1</v>
      </c>
      <c r="F168" s="6">
        <v>1</v>
      </c>
      <c r="G168" s="6">
        <v>1</v>
      </c>
      <c r="H168" s="6">
        <v>0</v>
      </c>
      <c r="I168" s="6">
        <v>2</v>
      </c>
      <c r="J168" s="6">
        <v>1</v>
      </c>
      <c r="K168" s="6">
        <v>1</v>
      </c>
      <c r="L168" s="6">
        <v>1</v>
      </c>
      <c r="M168" s="6">
        <v>1</v>
      </c>
      <c r="N168" s="6">
        <v>1</v>
      </c>
      <c r="O168" s="6">
        <v>1</v>
      </c>
      <c r="P168" s="6">
        <v>1</v>
      </c>
      <c r="Q168" s="6">
        <v>1</v>
      </c>
      <c r="R168" s="6" t="s">
        <v>4</v>
      </c>
      <c r="S168" s="6" t="s">
        <v>4</v>
      </c>
      <c r="T168" s="6" t="s">
        <v>4</v>
      </c>
      <c r="U168" s="6" t="s">
        <v>4</v>
      </c>
      <c r="V168" s="6" t="s">
        <v>4</v>
      </c>
      <c r="W168" s="6" t="s">
        <v>4</v>
      </c>
      <c r="X168" s="6" t="s">
        <v>4</v>
      </c>
      <c r="Y168" s="6" t="s">
        <v>4</v>
      </c>
      <c r="Z168" s="6" t="s">
        <v>4</v>
      </c>
      <c r="AA168" s="6" t="s">
        <v>103</v>
      </c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>
        <v>70314465</v>
      </c>
      <c r="AO168" s="6"/>
      <c r="AP168" s="6"/>
      <c r="AQ168" s="6"/>
      <c r="AR168" s="6"/>
      <c r="AS168" s="6"/>
      <c r="AT168" s="6"/>
      <c r="AU168" s="6"/>
      <c r="AV168" s="6"/>
      <c r="AW168" s="6"/>
      <c r="AX168" s="6"/>
    </row>
    <row r="169" spans="1:50">
      <c r="A169" s="6">
        <v>1</v>
      </c>
      <c r="B169" s="6" t="s">
        <v>101</v>
      </c>
      <c r="C169" s="6" t="s">
        <v>104</v>
      </c>
      <c r="D169" s="6">
        <v>2025</v>
      </c>
      <c r="E169" s="6">
        <v>1</v>
      </c>
      <c r="F169" s="6">
        <v>1</v>
      </c>
      <c r="G169" s="6">
        <v>1</v>
      </c>
      <c r="H169" s="6">
        <v>0</v>
      </c>
      <c r="I169" s="6">
        <v>2</v>
      </c>
      <c r="J169" s="6">
        <v>1</v>
      </c>
      <c r="K169" s="6">
        <v>1</v>
      </c>
      <c r="L169" s="6">
        <v>1</v>
      </c>
      <c r="M169" s="6">
        <v>1</v>
      </c>
      <c r="N169" s="6">
        <v>1</v>
      </c>
      <c r="O169" s="6">
        <v>1</v>
      </c>
      <c r="P169" s="6">
        <v>1</v>
      </c>
      <c r="Q169" s="6">
        <v>1</v>
      </c>
      <c r="R169" s="6" t="s">
        <v>4</v>
      </c>
      <c r="S169" s="6" t="s">
        <v>4</v>
      </c>
      <c r="T169" s="6" t="s">
        <v>4</v>
      </c>
      <c r="U169" s="6" t="s">
        <v>4</v>
      </c>
      <c r="V169" s="6" t="s">
        <v>4</v>
      </c>
      <c r="W169" s="6" t="s">
        <v>4</v>
      </c>
      <c r="X169" s="6" t="s">
        <v>4</v>
      </c>
      <c r="Y169" s="6" t="s">
        <v>4</v>
      </c>
      <c r="Z169" s="6" t="s">
        <v>4</v>
      </c>
      <c r="AA169" s="6" t="s">
        <v>105</v>
      </c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>
        <v>70314466</v>
      </c>
      <c r="AO169" s="6"/>
      <c r="AP169" s="6"/>
      <c r="AQ169" s="6"/>
      <c r="AR169" s="6"/>
      <c r="AS169" s="6"/>
      <c r="AT169" s="6"/>
      <c r="AU169" s="6"/>
      <c r="AV169" s="6"/>
      <c r="AW169" s="6"/>
      <c r="AX169" s="6"/>
    </row>
    <row r="170" spans="1:50">
      <c r="A170" s="4">
        <v>75</v>
      </c>
      <c r="B170" s="4" t="s">
        <v>106</v>
      </c>
      <c r="C170" s="4">
        <v>2000</v>
      </c>
      <c r="D170" s="4">
        <v>0</v>
      </c>
      <c r="E170" s="4">
        <v>1</v>
      </c>
      <c r="F170" s="4">
        <v>0</v>
      </c>
      <c r="G170" s="4">
        <v>0</v>
      </c>
      <c r="H170" s="4">
        <v>1</v>
      </c>
      <c r="I170" s="4">
        <v>0</v>
      </c>
      <c r="J170" s="4">
        <v>1</v>
      </c>
      <c r="K170" s="4">
        <v>98</v>
      </c>
      <c r="L170" s="4">
        <v>77</v>
      </c>
      <c r="M170" s="4">
        <v>0</v>
      </c>
      <c r="N170" s="4">
        <v>70314467</v>
      </c>
      <c r="O170" s="4">
        <v>2</v>
      </c>
    </row>
    <row r="174" spans="1:50">
      <c r="A174">
        <v>65</v>
      </c>
      <c r="C174">
        <v>1</v>
      </c>
      <c r="D174">
        <v>0</v>
      </c>
      <c r="E174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57"/>
  <sheetViews>
    <sheetView workbookViewId="0"/>
  </sheetViews>
  <sheetFormatPr defaultColWidth="9.109375" defaultRowHeight="12.7"/>
  <cols>
    <col min="1" max="256" width="9.109375" customWidth="1"/>
  </cols>
  <sheetData>
    <row r="1" spans="1:133">
      <c r="A1">
        <v>0</v>
      </c>
      <c r="B1" t="s">
        <v>0</v>
      </c>
      <c r="D1" t="s">
        <v>107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70314464</v>
      </c>
      <c r="E14" s="1">
        <v>70314467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ROUND((Source!P115)/1000,2)</f>
        <v>0</v>
      </c>
      <c r="F16" s="8">
        <f>ROUND((Source!P116)/1000,2)</f>
        <v>148.54</v>
      </c>
      <c r="G16" s="8">
        <f>ROUND((Source!P107)/1000,2)</f>
        <v>8026.24</v>
      </c>
      <c r="H16" s="8">
        <f>ROUND((Source!P117)/1000+(Source!P118)/1000,2)</f>
        <v>0</v>
      </c>
      <c r="I16" s="8">
        <f>E16+F16+G16+H16</f>
        <v>8174.78</v>
      </c>
      <c r="J16" s="8">
        <f>ROUND((Source!P113+Source!P112)/1000,2)</f>
        <v>54.62</v>
      </c>
      <c r="T16" s="9">
        <f>ROUND((Source!F115)/1000,2)</f>
        <v>0</v>
      </c>
      <c r="U16" s="9">
        <f>ROUND((Source!F116)/1000,2)</f>
        <v>4.5599999999999996</v>
      </c>
      <c r="V16" s="9">
        <f>ROUND((Source!F107)/1000,2)</f>
        <v>1104.02</v>
      </c>
      <c r="W16" s="9">
        <f>ROUND((Source!F117)/1000+(Source!F118)/1000,2)</f>
        <v>0</v>
      </c>
      <c r="X16" s="9">
        <f>T16+U16+V16+W16</f>
        <v>1108.58</v>
      </c>
      <c r="Y16" s="9">
        <f>ROUND((Source!F113+Source!F112)/1000,2)</f>
        <v>1.17</v>
      </c>
      <c r="AI16" s="7">
        <v>0</v>
      </c>
      <c r="AJ16" s="7">
        <v>-1</v>
      </c>
      <c r="AK16" s="7" t="s">
        <v>147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8096278.2400000002</v>
      </c>
      <c r="AU16" s="8">
        <v>8030975.1100000003</v>
      </c>
      <c r="AV16" s="8">
        <v>0</v>
      </c>
      <c r="AW16" s="8">
        <v>8026240.8099999996</v>
      </c>
      <c r="AX16" s="8">
        <v>0</v>
      </c>
      <c r="AY16" s="8">
        <v>29783.06</v>
      </c>
      <c r="AZ16" s="8">
        <v>19095.03</v>
      </c>
      <c r="BA16" s="8">
        <v>35520.07</v>
      </c>
      <c r="BB16" s="8">
        <v>0</v>
      </c>
      <c r="BC16" s="8">
        <v>148541.57</v>
      </c>
      <c r="BD16" s="8">
        <v>0</v>
      </c>
      <c r="BE16" s="8">
        <v>0</v>
      </c>
      <c r="BF16" s="8">
        <v>60.307200000000002</v>
      </c>
      <c r="BG16" s="8">
        <v>0</v>
      </c>
      <c r="BH16" s="8">
        <v>0</v>
      </c>
      <c r="BI16" s="8">
        <v>32678.46</v>
      </c>
      <c r="BJ16" s="8">
        <v>15273.63</v>
      </c>
      <c r="BK16" s="8">
        <v>8174782.3799999999</v>
      </c>
      <c r="BR16" s="9">
        <v>1106481.08</v>
      </c>
      <c r="BS16" s="9">
        <v>1104196.56</v>
      </c>
      <c r="BT16" s="9">
        <v>0</v>
      </c>
      <c r="BU16" s="9">
        <v>1104022.1200000001</v>
      </c>
      <c r="BV16" s="9">
        <v>0</v>
      </c>
      <c r="BW16" s="9">
        <v>1523.43</v>
      </c>
      <c r="BX16" s="9">
        <v>409.15</v>
      </c>
      <c r="BY16" s="9">
        <v>761.09</v>
      </c>
      <c r="BZ16" s="9">
        <v>0</v>
      </c>
      <c r="CA16" s="9">
        <v>4560.1499999999996</v>
      </c>
      <c r="CB16" s="9">
        <v>0</v>
      </c>
      <c r="CC16" s="9">
        <v>0</v>
      </c>
      <c r="CD16" s="9">
        <v>60.307200000000002</v>
      </c>
      <c r="CE16" s="9">
        <v>0</v>
      </c>
      <c r="CF16" s="9">
        <v>0</v>
      </c>
      <c r="CG16" s="9">
        <v>852.42</v>
      </c>
      <c r="CH16" s="9">
        <v>532.76</v>
      </c>
      <c r="CI16" s="9">
        <v>1108582.27</v>
      </c>
    </row>
    <row r="18" spans="1:40">
      <c r="A18">
        <v>51</v>
      </c>
      <c r="E18" s="10">
        <f>SUMIF(A16:A17,3,E16:E17)</f>
        <v>0</v>
      </c>
      <c r="F18" s="10">
        <f>SUMIF(A16:A17,3,F16:F17)</f>
        <v>148.54</v>
      </c>
      <c r="G18" s="10">
        <f>SUMIF(A16:A17,3,G16:G17)</f>
        <v>8026.24</v>
      </c>
      <c r="H18" s="10">
        <f>SUMIF(A16:A17,3,H16:H17)</f>
        <v>0</v>
      </c>
      <c r="I18" s="10">
        <f>SUMIF(A16:A17,3,I16:I17)</f>
        <v>8174.78</v>
      </c>
      <c r="J18" s="10">
        <f>SUMIF(A16:A17,3,J16:J17)</f>
        <v>54.62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0</v>
      </c>
      <c r="U18" s="3">
        <f>SUMIF(A16:A17,3,U16:U17)</f>
        <v>4.5599999999999996</v>
      </c>
      <c r="V18" s="3">
        <f>SUMIF(A16:A17,3,V16:V17)</f>
        <v>1104.02</v>
      </c>
      <c r="W18" s="3">
        <f>SUMIF(A16:A17,3,W16:W17)</f>
        <v>0</v>
      </c>
      <c r="X18" s="3">
        <f>SUMIF(A16:A17,3,X16:X17)</f>
        <v>1108.58</v>
      </c>
      <c r="Y18" s="3">
        <f>SUMIF(A16:A17,3,Y16:Y17)</f>
        <v>1.17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8096278.2400000002</v>
      </c>
      <c r="G20" s="5" t="s">
        <v>27</v>
      </c>
      <c r="H20" s="5" t="s">
        <v>28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1106481.08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8030975.1100000003</v>
      </c>
      <c r="G21" s="5" t="s">
        <v>29</v>
      </c>
      <c r="H21" s="5" t="s">
        <v>30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1104196.56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31</v>
      </c>
      <c r="H22" s="5" t="s">
        <v>32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8030975.1100000003</v>
      </c>
      <c r="G23" s="5" t="s">
        <v>33</v>
      </c>
      <c r="H23" s="5" t="s">
        <v>34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1104196.56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4734.3</v>
      </c>
      <c r="G24" s="5" t="s">
        <v>35</v>
      </c>
      <c r="H24" s="5" t="s">
        <v>36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174.44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37</v>
      </c>
      <c r="H25" s="5" t="s">
        <v>38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4734.3</v>
      </c>
      <c r="G26" s="5" t="s">
        <v>39</v>
      </c>
      <c r="H26" s="5" t="s">
        <v>40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174.44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8026240.8099999996</v>
      </c>
      <c r="G27" s="5" t="s">
        <v>41</v>
      </c>
      <c r="H27" s="5" t="s">
        <v>42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1104022.1200000001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43</v>
      </c>
      <c r="H28" s="5" t="s">
        <v>44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8026240.8099999996</v>
      </c>
      <c r="G29" s="5" t="s">
        <v>45</v>
      </c>
      <c r="H29" s="5" t="s">
        <v>46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1104022.1200000001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29783.06</v>
      </c>
      <c r="G30" s="5" t="s">
        <v>47</v>
      </c>
      <c r="H30" s="5" t="s">
        <v>48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1523.43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49</v>
      </c>
      <c r="H31" s="5" t="s">
        <v>50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19095.03</v>
      </c>
      <c r="G32" s="5" t="s">
        <v>51</v>
      </c>
      <c r="H32" s="5" t="s">
        <v>52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409.15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35520.07</v>
      </c>
      <c r="G33" s="5" t="s">
        <v>53</v>
      </c>
      <c r="H33" s="5" t="s">
        <v>54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761.09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55</v>
      </c>
      <c r="H34" s="5" t="s">
        <v>56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0</v>
      </c>
      <c r="G35" s="5" t="s">
        <v>57</v>
      </c>
      <c r="H35" s="5" t="s">
        <v>58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0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148541.57</v>
      </c>
      <c r="G36" s="5" t="s">
        <v>59</v>
      </c>
      <c r="H36" s="5" t="s">
        <v>60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4560.1499999999996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0</v>
      </c>
      <c r="G37" s="5" t="s">
        <v>61</v>
      </c>
      <c r="H37" s="5" t="s">
        <v>62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0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63</v>
      </c>
      <c r="H38" s="5" t="s">
        <v>64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65</v>
      </c>
      <c r="H39" s="5" t="s">
        <v>66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60.307200000000002</v>
      </c>
      <c r="G40" s="5" t="s">
        <v>67</v>
      </c>
      <c r="H40" s="5" t="s">
        <v>68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60.307200000000002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69</v>
      </c>
      <c r="H41" s="5" t="s">
        <v>70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71</v>
      </c>
      <c r="H42" s="5" t="s">
        <v>72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73</v>
      </c>
      <c r="H43" s="5" t="s">
        <v>74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32678.46</v>
      </c>
      <c r="G44" s="5" t="s">
        <v>75</v>
      </c>
      <c r="H44" s="5" t="s">
        <v>76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852.42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15273.63</v>
      </c>
      <c r="G45" s="5" t="s">
        <v>77</v>
      </c>
      <c r="H45" s="5" t="s">
        <v>78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532.76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8174782.3799999999</v>
      </c>
      <c r="G46" s="5" t="s">
        <v>79</v>
      </c>
      <c r="H46" s="5" t="s">
        <v>80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1108582.27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8026240.8099999996</v>
      </c>
      <c r="G47" s="5" t="s">
        <v>91</v>
      </c>
      <c r="H47" s="5" t="s">
        <v>92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-1</v>
      </c>
      <c r="P47" s="5">
        <v>1104022.1200000001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148541.57</v>
      </c>
      <c r="G48" s="5" t="s">
        <v>93</v>
      </c>
      <c r="H48" s="5" t="s">
        <v>18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4560.1499999999996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0</v>
      </c>
      <c r="G49" s="5" t="s">
        <v>94</v>
      </c>
      <c r="H49" s="5" t="s">
        <v>95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0</v>
      </c>
    </row>
    <row r="51" spans="1:50">
      <c r="A51">
        <v>-1</v>
      </c>
    </row>
    <row r="54" spans="1:50">
      <c r="A54" s="4">
        <v>75</v>
      </c>
      <c r="B54" s="4" t="s">
        <v>100</v>
      </c>
      <c r="C54" s="4">
        <v>2025</v>
      </c>
      <c r="D54" s="4">
        <v>0</v>
      </c>
      <c r="E54" s="4">
        <v>1</v>
      </c>
      <c r="F54" s="4"/>
      <c r="G54" s="4">
        <v>0</v>
      </c>
      <c r="H54" s="4">
        <v>2</v>
      </c>
      <c r="I54" s="4">
        <v>1</v>
      </c>
      <c r="J54" s="4">
        <v>1</v>
      </c>
      <c r="K54" s="4">
        <v>95</v>
      </c>
      <c r="L54" s="4">
        <v>65</v>
      </c>
      <c r="M54" s="4">
        <v>1</v>
      </c>
      <c r="N54" s="4">
        <v>70314464</v>
      </c>
      <c r="O54" s="4">
        <v>1</v>
      </c>
    </row>
    <row r="55" spans="1:50">
      <c r="A55" s="6">
        <v>1</v>
      </c>
      <c r="B55" s="6" t="s">
        <v>101</v>
      </c>
      <c r="C55" s="6" t="s">
        <v>102</v>
      </c>
      <c r="D55" s="6">
        <v>2025</v>
      </c>
      <c r="E55" s="6">
        <v>1</v>
      </c>
      <c r="F55" s="6">
        <v>1</v>
      </c>
      <c r="G55" s="6">
        <v>1</v>
      </c>
      <c r="H55" s="6">
        <v>0</v>
      </c>
      <c r="I55" s="6">
        <v>2</v>
      </c>
      <c r="J55" s="6">
        <v>1</v>
      </c>
      <c r="K55" s="6">
        <v>1</v>
      </c>
      <c r="L55" s="6">
        <v>1</v>
      </c>
      <c r="M55" s="6">
        <v>1</v>
      </c>
      <c r="N55" s="6">
        <v>1</v>
      </c>
      <c r="O55" s="6">
        <v>1</v>
      </c>
      <c r="P55" s="6">
        <v>1</v>
      </c>
      <c r="Q55" s="6">
        <v>1</v>
      </c>
      <c r="R55" s="6" t="s">
        <v>4</v>
      </c>
      <c r="S55" s="6" t="s">
        <v>4</v>
      </c>
      <c r="T55" s="6" t="s">
        <v>4</v>
      </c>
      <c r="U55" s="6" t="s">
        <v>4</v>
      </c>
      <c r="V55" s="6" t="s">
        <v>4</v>
      </c>
      <c r="W55" s="6" t="s">
        <v>4</v>
      </c>
      <c r="X55" s="6" t="s">
        <v>4</v>
      </c>
      <c r="Y55" s="6" t="s">
        <v>4</v>
      </c>
      <c r="Z55" s="6" t="s">
        <v>4</v>
      </c>
      <c r="AA55" s="6" t="s">
        <v>103</v>
      </c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>
        <v>70314465</v>
      </c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>
      <c r="A56" s="6">
        <v>1</v>
      </c>
      <c r="B56" s="6" t="s">
        <v>101</v>
      </c>
      <c r="C56" s="6" t="s">
        <v>104</v>
      </c>
      <c r="D56" s="6">
        <v>2025</v>
      </c>
      <c r="E56" s="6">
        <v>1</v>
      </c>
      <c r="F56" s="6">
        <v>1</v>
      </c>
      <c r="G56" s="6">
        <v>1</v>
      </c>
      <c r="H56" s="6">
        <v>0</v>
      </c>
      <c r="I56" s="6">
        <v>2</v>
      </c>
      <c r="J56" s="6">
        <v>1</v>
      </c>
      <c r="K56" s="6">
        <v>1</v>
      </c>
      <c r="L56" s="6">
        <v>1</v>
      </c>
      <c r="M56" s="6">
        <v>1</v>
      </c>
      <c r="N56" s="6">
        <v>1</v>
      </c>
      <c r="O56" s="6">
        <v>1</v>
      </c>
      <c r="P56" s="6">
        <v>1</v>
      </c>
      <c r="Q56" s="6">
        <v>1</v>
      </c>
      <c r="R56" s="6" t="s">
        <v>4</v>
      </c>
      <c r="S56" s="6" t="s">
        <v>4</v>
      </c>
      <c r="T56" s="6" t="s">
        <v>4</v>
      </c>
      <c r="U56" s="6" t="s">
        <v>4</v>
      </c>
      <c r="V56" s="6" t="s">
        <v>4</v>
      </c>
      <c r="W56" s="6" t="s">
        <v>4</v>
      </c>
      <c r="X56" s="6" t="s">
        <v>4</v>
      </c>
      <c r="Y56" s="6" t="s">
        <v>4</v>
      </c>
      <c r="Z56" s="6" t="s">
        <v>4</v>
      </c>
      <c r="AA56" s="6" t="s">
        <v>105</v>
      </c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>
        <v>70314466</v>
      </c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>
      <c r="A57" s="4">
        <v>75</v>
      </c>
      <c r="B57" s="4" t="s">
        <v>106</v>
      </c>
      <c r="C57" s="4">
        <v>2000</v>
      </c>
      <c r="D57" s="4">
        <v>0</v>
      </c>
      <c r="E57" s="4">
        <v>1</v>
      </c>
      <c r="F57" s="4">
        <v>0</v>
      </c>
      <c r="G57" s="4">
        <v>0</v>
      </c>
      <c r="H57" s="4">
        <v>1</v>
      </c>
      <c r="I57" s="4">
        <v>0</v>
      </c>
      <c r="J57" s="4">
        <v>1</v>
      </c>
      <c r="K57" s="4">
        <v>98</v>
      </c>
      <c r="L57" s="4">
        <v>77</v>
      </c>
      <c r="M57" s="4">
        <v>0</v>
      </c>
      <c r="N57" s="4">
        <v>70314467</v>
      </c>
      <c r="O57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20"/>
  <sheetViews>
    <sheetView workbookViewId="0"/>
  </sheetViews>
  <sheetFormatPr defaultColWidth="9.109375" defaultRowHeight="12.7"/>
  <cols>
    <col min="1" max="256" width="9.109375" customWidth="1"/>
  </cols>
  <sheetData>
    <row r="1" spans="1:119">
      <c r="A1">
        <f>ROW(Source!A28)</f>
        <v>28</v>
      </c>
      <c r="B1">
        <v>70314467</v>
      </c>
      <c r="C1">
        <v>70315943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108</v>
      </c>
      <c r="J1" t="s">
        <v>4</v>
      </c>
      <c r="K1" t="s">
        <v>109</v>
      </c>
      <c r="L1">
        <v>1191</v>
      </c>
      <c r="N1">
        <v>1013</v>
      </c>
      <c r="O1" t="s">
        <v>110</v>
      </c>
      <c r="P1" t="s">
        <v>110</v>
      </c>
      <c r="Q1">
        <v>1</v>
      </c>
      <c r="W1">
        <v>0</v>
      </c>
      <c r="X1">
        <v>476480486</v>
      </c>
      <c r="Y1">
        <f t="shared" ref="Y1:Y20" si="0">AT1</f>
        <v>28.8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4</v>
      </c>
      <c r="AT1">
        <v>28.8</v>
      </c>
      <c r="AU1" t="s">
        <v>4</v>
      </c>
      <c r="AV1">
        <v>1</v>
      </c>
      <c r="AW1">
        <v>2</v>
      </c>
      <c r="AX1">
        <v>70315960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0</v>
      </c>
      <c r="CV1">
        <f>ROUND(Y1*Source!I28,9)</f>
        <v>57.6</v>
      </c>
      <c r="CW1">
        <v>0</v>
      </c>
      <c r="CX1">
        <f>ROUND(Y1*Source!I28,9)</f>
        <v>57.6</v>
      </c>
      <c r="CY1">
        <f>AD1</f>
        <v>0</v>
      </c>
      <c r="CZ1">
        <f>AH1</f>
        <v>0</v>
      </c>
      <c r="DA1">
        <f>AL1</f>
        <v>1</v>
      </c>
      <c r="DB1">
        <f t="shared" ref="DB1:DB20" si="1">ROUND(ROUND(AT1*CZ1,2),6)</f>
        <v>0</v>
      </c>
      <c r="DC1">
        <f t="shared" ref="DC1:DC20" si="2">ROUND(ROUND(AT1*AG1,2),6)</f>
        <v>0</v>
      </c>
      <c r="DD1" t="s">
        <v>4</v>
      </c>
      <c r="DE1" t="s">
        <v>4</v>
      </c>
      <c r="DF1">
        <f t="shared" ref="DF1:DF14" si="3">ROUND(ROUND(AE1,2)*CX1,2)</f>
        <v>0</v>
      </c>
      <c r="DG1">
        <f t="shared" ref="DG1:DG11" si="4">ROUND(ROUND(AF1,2)*CX1,2)</f>
        <v>0</v>
      </c>
      <c r="DH1">
        <f t="shared" ref="DH1:DH11" si="5">ROUND(ROUND(AG1,2)*CX1,2)</f>
        <v>0</v>
      </c>
      <c r="DI1">
        <f t="shared" ref="DI1:DI20" si="6">ROUND(ROUND(AH1,2)*CX1,2)</f>
        <v>0</v>
      </c>
      <c r="DJ1">
        <f>DI1</f>
        <v>0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ROW(Source!A28)</f>
        <v>28</v>
      </c>
      <c r="B2">
        <v>70314467</v>
      </c>
      <c r="C2">
        <v>70315943</v>
      </c>
      <c r="D2">
        <v>69364211</v>
      </c>
      <c r="E2">
        <v>1</v>
      </c>
      <c r="F2">
        <v>1</v>
      </c>
      <c r="G2">
        <v>1075</v>
      </c>
      <c r="H2">
        <v>2</v>
      </c>
      <c r="I2" t="s">
        <v>111</v>
      </c>
      <c r="J2" t="s">
        <v>112</v>
      </c>
      <c r="K2" t="s">
        <v>113</v>
      </c>
      <c r="L2">
        <v>1368</v>
      </c>
      <c r="N2">
        <v>1011</v>
      </c>
      <c r="O2" t="s">
        <v>114</v>
      </c>
      <c r="P2" t="s">
        <v>114</v>
      </c>
      <c r="Q2">
        <v>1</v>
      </c>
      <c r="W2">
        <v>0</v>
      </c>
      <c r="X2">
        <v>-1854754343</v>
      </c>
      <c r="Y2">
        <f t="shared" si="0"/>
        <v>0.17</v>
      </c>
      <c r="AA2">
        <v>0</v>
      </c>
      <c r="AB2">
        <v>7.11</v>
      </c>
      <c r="AC2">
        <v>0</v>
      </c>
      <c r="AD2">
        <v>0</v>
      </c>
      <c r="AE2">
        <v>0</v>
      </c>
      <c r="AF2">
        <v>7.11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4</v>
      </c>
      <c r="AT2">
        <v>0.17</v>
      </c>
      <c r="AU2" t="s">
        <v>4</v>
      </c>
      <c r="AV2">
        <v>0</v>
      </c>
      <c r="AW2">
        <v>2</v>
      </c>
      <c r="AX2">
        <v>70315961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ROUND(Y2*Source!I28*DO2,9)</f>
        <v>0</v>
      </c>
      <c r="CX2">
        <f>ROUND(Y2*Source!I28,9)</f>
        <v>0.34</v>
      </c>
      <c r="CY2">
        <f>AB2</f>
        <v>7.11</v>
      </c>
      <c r="CZ2">
        <f>AF2</f>
        <v>7.11</v>
      </c>
      <c r="DA2">
        <f>AJ2</f>
        <v>1</v>
      </c>
      <c r="DB2">
        <f t="shared" si="1"/>
        <v>1.21</v>
      </c>
      <c r="DC2">
        <f t="shared" si="2"/>
        <v>0</v>
      </c>
      <c r="DD2" t="s">
        <v>4</v>
      </c>
      <c r="DE2" t="s">
        <v>4</v>
      </c>
      <c r="DF2">
        <f t="shared" si="3"/>
        <v>0</v>
      </c>
      <c r="DG2">
        <f t="shared" si="4"/>
        <v>2.42</v>
      </c>
      <c r="DH2">
        <f t="shared" si="5"/>
        <v>0</v>
      </c>
      <c r="DI2">
        <f t="shared" si="6"/>
        <v>0</v>
      </c>
      <c r="DJ2">
        <f>DG2</f>
        <v>2.42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ROW(Source!A28)</f>
        <v>28</v>
      </c>
      <c r="B3">
        <v>70314467</v>
      </c>
      <c r="C3">
        <v>70315943</v>
      </c>
      <c r="D3">
        <v>69364509</v>
      </c>
      <c r="E3">
        <v>1</v>
      </c>
      <c r="F3">
        <v>1</v>
      </c>
      <c r="G3">
        <v>1075</v>
      </c>
      <c r="H3">
        <v>2</v>
      </c>
      <c r="I3" t="s">
        <v>115</v>
      </c>
      <c r="J3" t="s">
        <v>116</v>
      </c>
      <c r="K3" t="s">
        <v>117</v>
      </c>
      <c r="L3">
        <v>1368</v>
      </c>
      <c r="N3">
        <v>1011</v>
      </c>
      <c r="O3" t="s">
        <v>114</v>
      </c>
      <c r="P3" t="s">
        <v>114</v>
      </c>
      <c r="Q3">
        <v>1</v>
      </c>
      <c r="W3">
        <v>0</v>
      </c>
      <c r="X3">
        <v>322366203</v>
      </c>
      <c r="Y3">
        <f t="shared" si="0"/>
        <v>2.93</v>
      </c>
      <c r="AA3">
        <v>0</v>
      </c>
      <c r="AB3">
        <v>83.1</v>
      </c>
      <c r="AC3">
        <v>12.62</v>
      </c>
      <c r="AD3">
        <v>0</v>
      </c>
      <c r="AE3">
        <v>0</v>
      </c>
      <c r="AF3">
        <v>83.1</v>
      </c>
      <c r="AG3">
        <v>12.62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4</v>
      </c>
      <c r="AT3">
        <v>2.93</v>
      </c>
      <c r="AU3" t="s">
        <v>4</v>
      </c>
      <c r="AV3">
        <v>0</v>
      </c>
      <c r="AW3">
        <v>2</v>
      </c>
      <c r="AX3">
        <v>70315962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ROUND(Y3*Source!I28*DO3,9)</f>
        <v>0</v>
      </c>
      <c r="CX3">
        <f>ROUND(Y3*Source!I28,9)</f>
        <v>5.86</v>
      </c>
      <c r="CY3">
        <f>AB3</f>
        <v>83.1</v>
      </c>
      <c r="CZ3">
        <f>AF3</f>
        <v>83.1</v>
      </c>
      <c r="DA3">
        <f>AJ3</f>
        <v>1</v>
      </c>
      <c r="DB3">
        <f t="shared" si="1"/>
        <v>243.48</v>
      </c>
      <c r="DC3">
        <f t="shared" si="2"/>
        <v>36.979999999999997</v>
      </c>
      <c r="DD3" t="s">
        <v>4</v>
      </c>
      <c r="DE3" t="s">
        <v>4</v>
      </c>
      <c r="DF3">
        <f t="shared" si="3"/>
        <v>0</v>
      </c>
      <c r="DG3">
        <f t="shared" si="4"/>
        <v>486.97</v>
      </c>
      <c r="DH3">
        <f t="shared" si="5"/>
        <v>73.95</v>
      </c>
      <c r="DI3">
        <f t="shared" si="6"/>
        <v>0</v>
      </c>
      <c r="DJ3">
        <f>DG3</f>
        <v>486.97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ROW(Source!A28)</f>
        <v>28</v>
      </c>
      <c r="B4">
        <v>70314467</v>
      </c>
      <c r="C4">
        <v>70315943</v>
      </c>
      <c r="D4">
        <v>69363847</v>
      </c>
      <c r="E4">
        <v>1</v>
      </c>
      <c r="F4">
        <v>1</v>
      </c>
      <c r="G4">
        <v>1075</v>
      </c>
      <c r="H4">
        <v>2</v>
      </c>
      <c r="I4" t="s">
        <v>118</v>
      </c>
      <c r="J4" t="s">
        <v>119</v>
      </c>
      <c r="K4" t="s">
        <v>120</v>
      </c>
      <c r="L4">
        <v>1368</v>
      </c>
      <c r="N4">
        <v>1011</v>
      </c>
      <c r="O4" t="s">
        <v>114</v>
      </c>
      <c r="P4" t="s">
        <v>114</v>
      </c>
      <c r="Q4">
        <v>1</v>
      </c>
      <c r="W4">
        <v>0</v>
      </c>
      <c r="X4">
        <v>-1536647364</v>
      </c>
      <c r="Y4">
        <f t="shared" si="0"/>
        <v>15.5</v>
      </c>
      <c r="AA4">
        <v>0</v>
      </c>
      <c r="AB4">
        <v>31.15</v>
      </c>
      <c r="AC4">
        <v>10.220000000000001</v>
      </c>
      <c r="AD4">
        <v>0</v>
      </c>
      <c r="AE4">
        <v>0</v>
      </c>
      <c r="AF4">
        <v>31.15</v>
      </c>
      <c r="AG4">
        <v>10.220000000000001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4</v>
      </c>
      <c r="AT4">
        <v>15.5</v>
      </c>
      <c r="AU4" t="s">
        <v>4</v>
      </c>
      <c r="AV4">
        <v>0</v>
      </c>
      <c r="AW4">
        <v>2</v>
      </c>
      <c r="AX4">
        <v>70315963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ROUND(Y4*Source!I28*DO4,9)</f>
        <v>0</v>
      </c>
      <c r="CX4">
        <f>ROUND(Y4*Source!I28,9)</f>
        <v>31</v>
      </c>
      <c r="CY4">
        <f>AB4</f>
        <v>31.15</v>
      </c>
      <c r="CZ4">
        <f>AF4</f>
        <v>31.15</v>
      </c>
      <c r="DA4">
        <f>AJ4</f>
        <v>1</v>
      </c>
      <c r="DB4">
        <f t="shared" si="1"/>
        <v>482.83</v>
      </c>
      <c r="DC4">
        <f t="shared" si="2"/>
        <v>158.41</v>
      </c>
      <c r="DD4" t="s">
        <v>4</v>
      </c>
      <c r="DE4" t="s">
        <v>4</v>
      </c>
      <c r="DF4">
        <f t="shared" si="3"/>
        <v>0</v>
      </c>
      <c r="DG4">
        <f t="shared" si="4"/>
        <v>965.65</v>
      </c>
      <c r="DH4">
        <f t="shared" si="5"/>
        <v>316.82</v>
      </c>
      <c r="DI4">
        <f t="shared" si="6"/>
        <v>0</v>
      </c>
      <c r="DJ4">
        <f>DG4</f>
        <v>965.65</v>
      </c>
      <c r="DK4">
        <v>0</v>
      </c>
      <c r="DL4" t="s">
        <v>4</v>
      </c>
      <c r="DM4">
        <v>0</v>
      </c>
      <c r="DN4" t="s">
        <v>4</v>
      </c>
      <c r="DO4">
        <v>0</v>
      </c>
    </row>
    <row r="5" spans="1:119">
      <c r="A5">
        <f>ROW(Source!A28)</f>
        <v>28</v>
      </c>
      <c r="B5">
        <v>70314467</v>
      </c>
      <c r="C5">
        <v>70315943</v>
      </c>
      <c r="D5">
        <v>69334386</v>
      </c>
      <c r="E5">
        <v>1</v>
      </c>
      <c r="F5">
        <v>1</v>
      </c>
      <c r="G5">
        <v>1075</v>
      </c>
      <c r="H5">
        <v>3</v>
      </c>
      <c r="I5" t="s">
        <v>121</v>
      </c>
      <c r="J5" t="s">
        <v>122</v>
      </c>
      <c r="K5" t="s">
        <v>123</v>
      </c>
      <c r="L5">
        <v>1346</v>
      </c>
      <c r="N5">
        <v>1009</v>
      </c>
      <c r="O5" t="s">
        <v>124</v>
      </c>
      <c r="P5" t="s">
        <v>124</v>
      </c>
      <c r="Q5">
        <v>1</v>
      </c>
      <c r="W5">
        <v>0</v>
      </c>
      <c r="X5">
        <v>1295075275</v>
      </c>
      <c r="Y5">
        <f t="shared" si="0"/>
        <v>2.4</v>
      </c>
      <c r="AA5">
        <v>26.89</v>
      </c>
      <c r="AB5">
        <v>0</v>
      </c>
      <c r="AC5">
        <v>0</v>
      </c>
      <c r="AD5">
        <v>0</v>
      </c>
      <c r="AE5">
        <v>26.89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M5">
        <v>-2</v>
      </c>
      <c r="AN5">
        <v>0</v>
      </c>
      <c r="AO5">
        <v>1</v>
      </c>
      <c r="AP5">
        <v>0</v>
      </c>
      <c r="AQ5">
        <v>0</v>
      </c>
      <c r="AR5">
        <v>0</v>
      </c>
      <c r="AS5" t="s">
        <v>4</v>
      </c>
      <c r="AT5">
        <v>2.4</v>
      </c>
      <c r="AU5" t="s">
        <v>4</v>
      </c>
      <c r="AV5">
        <v>0</v>
      </c>
      <c r="AW5">
        <v>2</v>
      </c>
      <c r="AX5">
        <v>70315964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V5">
        <v>0</v>
      </c>
      <c r="CW5">
        <v>0</v>
      </c>
      <c r="CX5">
        <f>ROUND(Y5*Source!I28,9)</f>
        <v>4.8</v>
      </c>
      <c r="CY5">
        <f t="shared" ref="CY5:CY10" si="7">AA5</f>
        <v>26.89</v>
      </c>
      <c r="CZ5">
        <f t="shared" ref="CZ5:CZ10" si="8">AE5</f>
        <v>26.89</v>
      </c>
      <c r="DA5">
        <f t="shared" ref="DA5:DA10" si="9">AI5</f>
        <v>1</v>
      </c>
      <c r="DB5">
        <f t="shared" si="1"/>
        <v>64.540000000000006</v>
      </c>
      <c r="DC5">
        <f t="shared" si="2"/>
        <v>0</v>
      </c>
      <c r="DD5" t="s">
        <v>4</v>
      </c>
      <c r="DE5" t="s">
        <v>4</v>
      </c>
      <c r="DF5">
        <f t="shared" si="3"/>
        <v>129.07</v>
      </c>
      <c r="DG5">
        <f t="shared" si="4"/>
        <v>0</v>
      </c>
      <c r="DH5">
        <f t="shared" si="5"/>
        <v>0</v>
      </c>
      <c r="DI5">
        <f t="shared" si="6"/>
        <v>0</v>
      </c>
      <c r="DJ5">
        <f t="shared" ref="DJ5:DJ10" si="10">DF5</f>
        <v>129.07</v>
      </c>
      <c r="DK5">
        <v>0</v>
      </c>
      <c r="DL5" t="s">
        <v>4</v>
      </c>
      <c r="DM5">
        <v>0</v>
      </c>
      <c r="DN5" t="s">
        <v>4</v>
      </c>
      <c r="DO5">
        <v>0</v>
      </c>
    </row>
    <row r="6" spans="1:119">
      <c r="A6">
        <f>ROW(Source!A28)</f>
        <v>28</v>
      </c>
      <c r="B6">
        <v>70314467</v>
      </c>
      <c r="C6">
        <v>70315943</v>
      </c>
      <c r="D6">
        <v>69334411</v>
      </c>
      <c r="E6">
        <v>1</v>
      </c>
      <c r="F6">
        <v>1</v>
      </c>
      <c r="G6">
        <v>1075</v>
      </c>
      <c r="H6">
        <v>3</v>
      </c>
      <c r="I6" t="s">
        <v>125</v>
      </c>
      <c r="J6" t="s">
        <v>126</v>
      </c>
      <c r="K6" t="s">
        <v>127</v>
      </c>
      <c r="L6">
        <v>1348</v>
      </c>
      <c r="N6">
        <v>1009</v>
      </c>
      <c r="O6" t="s">
        <v>128</v>
      </c>
      <c r="P6" t="s">
        <v>128</v>
      </c>
      <c r="Q6">
        <v>1000</v>
      </c>
      <c r="W6">
        <v>0</v>
      </c>
      <c r="X6">
        <v>-606968375</v>
      </c>
      <c r="Y6">
        <f t="shared" si="0"/>
        <v>1E-3</v>
      </c>
      <c r="AA6">
        <v>7254.88</v>
      </c>
      <c r="AB6">
        <v>0</v>
      </c>
      <c r="AC6">
        <v>0</v>
      </c>
      <c r="AD6">
        <v>0</v>
      </c>
      <c r="AE6">
        <v>7254.88</v>
      </c>
      <c r="AF6">
        <v>0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M6">
        <v>-2</v>
      </c>
      <c r="AN6">
        <v>0</v>
      </c>
      <c r="AO6">
        <v>1</v>
      </c>
      <c r="AP6">
        <v>0</v>
      </c>
      <c r="AQ6">
        <v>0</v>
      </c>
      <c r="AR6">
        <v>0</v>
      </c>
      <c r="AS6" t="s">
        <v>4</v>
      </c>
      <c r="AT6">
        <v>1E-3</v>
      </c>
      <c r="AU6" t="s">
        <v>4</v>
      </c>
      <c r="AV6">
        <v>0</v>
      </c>
      <c r="AW6">
        <v>2</v>
      </c>
      <c r="AX6">
        <v>70315965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V6">
        <v>0</v>
      </c>
      <c r="CW6">
        <v>0</v>
      </c>
      <c r="CX6">
        <f>ROUND(Y6*Source!I28,9)</f>
        <v>2E-3</v>
      </c>
      <c r="CY6">
        <f t="shared" si="7"/>
        <v>7254.88</v>
      </c>
      <c r="CZ6">
        <f t="shared" si="8"/>
        <v>7254.88</v>
      </c>
      <c r="DA6">
        <f t="shared" si="9"/>
        <v>1</v>
      </c>
      <c r="DB6">
        <f t="shared" si="1"/>
        <v>7.25</v>
      </c>
      <c r="DC6">
        <f t="shared" si="2"/>
        <v>0</v>
      </c>
      <c r="DD6" t="s">
        <v>4</v>
      </c>
      <c r="DE6" t="s">
        <v>4</v>
      </c>
      <c r="DF6">
        <f t="shared" si="3"/>
        <v>14.51</v>
      </c>
      <c r="DG6">
        <f t="shared" si="4"/>
        <v>0</v>
      </c>
      <c r="DH6">
        <f t="shared" si="5"/>
        <v>0</v>
      </c>
      <c r="DI6">
        <f t="shared" si="6"/>
        <v>0</v>
      </c>
      <c r="DJ6">
        <f t="shared" si="10"/>
        <v>14.51</v>
      </c>
      <c r="DK6">
        <v>0</v>
      </c>
      <c r="DL6" t="s">
        <v>4</v>
      </c>
      <c r="DM6">
        <v>0</v>
      </c>
      <c r="DN6" t="s">
        <v>4</v>
      </c>
      <c r="DO6">
        <v>0</v>
      </c>
    </row>
    <row r="7" spans="1:119">
      <c r="A7">
        <f>ROW(Source!A28)</f>
        <v>28</v>
      </c>
      <c r="B7">
        <v>70314467</v>
      </c>
      <c r="C7">
        <v>70315943</v>
      </c>
      <c r="D7">
        <v>69334814</v>
      </c>
      <c r="E7">
        <v>1</v>
      </c>
      <c r="F7">
        <v>1</v>
      </c>
      <c r="G7">
        <v>1075</v>
      </c>
      <c r="H7">
        <v>3</v>
      </c>
      <c r="I7" t="s">
        <v>129</v>
      </c>
      <c r="J7" t="s">
        <v>130</v>
      </c>
      <c r="K7" t="s">
        <v>131</v>
      </c>
      <c r="L7">
        <v>1346</v>
      </c>
      <c r="N7">
        <v>1009</v>
      </c>
      <c r="O7" t="s">
        <v>124</v>
      </c>
      <c r="P7" t="s">
        <v>124</v>
      </c>
      <c r="Q7">
        <v>1</v>
      </c>
      <c r="W7">
        <v>0</v>
      </c>
      <c r="X7">
        <v>-2000333744</v>
      </c>
      <c r="Y7">
        <f t="shared" si="0"/>
        <v>0.2</v>
      </c>
      <c r="AA7">
        <v>29.9</v>
      </c>
      <c r="AB7">
        <v>0</v>
      </c>
      <c r="AC7">
        <v>0</v>
      </c>
      <c r="AD7">
        <v>0</v>
      </c>
      <c r="AE7">
        <v>29.9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M7">
        <v>-2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4</v>
      </c>
      <c r="AT7">
        <v>0.2</v>
      </c>
      <c r="AU7" t="s">
        <v>4</v>
      </c>
      <c r="AV7">
        <v>0</v>
      </c>
      <c r="AW7">
        <v>2</v>
      </c>
      <c r="AX7">
        <v>70315966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V7">
        <v>0</v>
      </c>
      <c r="CW7">
        <v>0</v>
      </c>
      <c r="CX7">
        <f>ROUND(Y7*Source!I28,9)</f>
        <v>0.4</v>
      </c>
      <c r="CY7">
        <f t="shared" si="7"/>
        <v>29.9</v>
      </c>
      <c r="CZ7">
        <f t="shared" si="8"/>
        <v>29.9</v>
      </c>
      <c r="DA7">
        <f t="shared" si="9"/>
        <v>1</v>
      </c>
      <c r="DB7">
        <f t="shared" si="1"/>
        <v>5.98</v>
      </c>
      <c r="DC7">
        <f t="shared" si="2"/>
        <v>0</v>
      </c>
      <c r="DD7" t="s">
        <v>4</v>
      </c>
      <c r="DE7" t="s">
        <v>4</v>
      </c>
      <c r="DF7">
        <f t="shared" si="3"/>
        <v>11.96</v>
      </c>
      <c r="DG7">
        <f t="shared" si="4"/>
        <v>0</v>
      </c>
      <c r="DH7">
        <f t="shared" si="5"/>
        <v>0</v>
      </c>
      <c r="DI7">
        <f t="shared" si="6"/>
        <v>0</v>
      </c>
      <c r="DJ7">
        <f t="shared" si="10"/>
        <v>11.96</v>
      </c>
      <c r="DK7">
        <v>0</v>
      </c>
      <c r="DL7" t="s">
        <v>4</v>
      </c>
      <c r="DM7">
        <v>0</v>
      </c>
      <c r="DN7" t="s">
        <v>4</v>
      </c>
      <c r="DO7">
        <v>0</v>
      </c>
    </row>
    <row r="8" spans="1:119">
      <c r="A8">
        <f>ROW(Source!A28)</f>
        <v>28</v>
      </c>
      <c r="B8">
        <v>70314467</v>
      </c>
      <c r="C8">
        <v>70315943</v>
      </c>
      <c r="D8">
        <v>69335526</v>
      </c>
      <c r="E8">
        <v>1</v>
      </c>
      <c r="F8">
        <v>1</v>
      </c>
      <c r="G8">
        <v>1075</v>
      </c>
      <c r="H8">
        <v>3</v>
      </c>
      <c r="I8" t="s">
        <v>132</v>
      </c>
      <c r="J8" t="s">
        <v>133</v>
      </c>
      <c r="K8" t="s">
        <v>134</v>
      </c>
      <c r="L8">
        <v>1346</v>
      </c>
      <c r="N8">
        <v>1009</v>
      </c>
      <c r="O8" t="s">
        <v>124</v>
      </c>
      <c r="P8" t="s">
        <v>124</v>
      </c>
      <c r="Q8">
        <v>1</v>
      </c>
      <c r="W8">
        <v>0</v>
      </c>
      <c r="X8">
        <v>-1164981962</v>
      </c>
      <c r="Y8">
        <f t="shared" si="0"/>
        <v>0.3</v>
      </c>
      <c r="AA8">
        <v>21.04</v>
      </c>
      <c r="AB8">
        <v>0</v>
      </c>
      <c r="AC8">
        <v>0</v>
      </c>
      <c r="AD8">
        <v>0</v>
      </c>
      <c r="AE8">
        <v>21.04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M8">
        <v>-2</v>
      </c>
      <c r="AN8">
        <v>0</v>
      </c>
      <c r="AO8">
        <v>1</v>
      </c>
      <c r="AP8">
        <v>0</v>
      </c>
      <c r="AQ8">
        <v>0</v>
      </c>
      <c r="AR8">
        <v>0</v>
      </c>
      <c r="AS8" t="s">
        <v>4</v>
      </c>
      <c r="AT8">
        <v>0.3</v>
      </c>
      <c r="AU8" t="s">
        <v>4</v>
      </c>
      <c r="AV8">
        <v>0</v>
      </c>
      <c r="AW8">
        <v>2</v>
      </c>
      <c r="AX8">
        <v>70315967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V8">
        <v>0</v>
      </c>
      <c r="CW8">
        <v>0</v>
      </c>
      <c r="CX8">
        <f>ROUND(Y8*Source!I28,9)</f>
        <v>0.6</v>
      </c>
      <c r="CY8">
        <f t="shared" si="7"/>
        <v>21.04</v>
      </c>
      <c r="CZ8">
        <f t="shared" si="8"/>
        <v>21.04</v>
      </c>
      <c r="DA8">
        <f t="shared" si="9"/>
        <v>1</v>
      </c>
      <c r="DB8">
        <f t="shared" si="1"/>
        <v>6.31</v>
      </c>
      <c r="DC8">
        <f t="shared" si="2"/>
        <v>0</v>
      </c>
      <c r="DD8" t="s">
        <v>4</v>
      </c>
      <c r="DE8" t="s">
        <v>4</v>
      </c>
      <c r="DF8">
        <f t="shared" si="3"/>
        <v>12.62</v>
      </c>
      <c r="DG8">
        <f t="shared" si="4"/>
        <v>0</v>
      </c>
      <c r="DH8">
        <f t="shared" si="5"/>
        <v>0</v>
      </c>
      <c r="DI8">
        <f t="shared" si="6"/>
        <v>0</v>
      </c>
      <c r="DJ8">
        <f t="shared" si="10"/>
        <v>12.62</v>
      </c>
      <c r="DK8">
        <v>0</v>
      </c>
      <c r="DL8" t="s">
        <v>4</v>
      </c>
      <c r="DM8">
        <v>0</v>
      </c>
      <c r="DN8" t="s">
        <v>4</v>
      </c>
      <c r="DO8">
        <v>0</v>
      </c>
    </row>
    <row r="9" spans="1:119">
      <c r="A9">
        <f>ROW(Source!A28)</f>
        <v>28</v>
      </c>
      <c r="B9">
        <v>70314467</v>
      </c>
      <c r="C9">
        <v>70315943</v>
      </c>
      <c r="D9">
        <v>69340457</v>
      </c>
      <c r="E9">
        <v>1</v>
      </c>
      <c r="F9">
        <v>1</v>
      </c>
      <c r="G9">
        <v>1075</v>
      </c>
      <c r="H9">
        <v>3</v>
      </c>
      <c r="I9" t="s">
        <v>135</v>
      </c>
      <c r="J9" t="s">
        <v>136</v>
      </c>
      <c r="K9" t="s">
        <v>137</v>
      </c>
      <c r="L9">
        <v>1302</v>
      </c>
      <c r="N9">
        <v>1003</v>
      </c>
      <c r="O9" t="s">
        <v>138</v>
      </c>
      <c r="P9" t="s">
        <v>138</v>
      </c>
      <c r="Q9">
        <v>10</v>
      </c>
      <c r="W9">
        <v>0</v>
      </c>
      <c r="X9">
        <v>-471450150</v>
      </c>
      <c r="Y9">
        <f t="shared" si="0"/>
        <v>0.03</v>
      </c>
      <c r="AA9">
        <v>46.16</v>
      </c>
      <c r="AB9">
        <v>0</v>
      </c>
      <c r="AC9">
        <v>0</v>
      </c>
      <c r="AD9">
        <v>0</v>
      </c>
      <c r="AE9">
        <v>46.16</v>
      </c>
      <c r="AF9">
        <v>0</v>
      </c>
      <c r="AG9">
        <v>0</v>
      </c>
      <c r="AH9">
        <v>0</v>
      </c>
      <c r="AI9">
        <v>1</v>
      </c>
      <c r="AJ9">
        <v>1</v>
      </c>
      <c r="AK9">
        <v>1</v>
      </c>
      <c r="AL9">
        <v>1</v>
      </c>
      <c r="AM9">
        <v>-2</v>
      </c>
      <c r="AN9">
        <v>0</v>
      </c>
      <c r="AO9">
        <v>1</v>
      </c>
      <c r="AP9">
        <v>0</v>
      </c>
      <c r="AQ9">
        <v>0</v>
      </c>
      <c r="AR9">
        <v>0</v>
      </c>
      <c r="AS9" t="s">
        <v>4</v>
      </c>
      <c r="AT9">
        <v>0.03</v>
      </c>
      <c r="AU9" t="s">
        <v>4</v>
      </c>
      <c r="AV9">
        <v>0</v>
      </c>
      <c r="AW9">
        <v>2</v>
      </c>
      <c r="AX9">
        <v>70315968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V9">
        <v>0</v>
      </c>
      <c r="CW9">
        <v>0</v>
      </c>
      <c r="CX9">
        <f>ROUND(Y9*Source!I28,9)</f>
        <v>0.06</v>
      </c>
      <c r="CY9">
        <f t="shared" si="7"/>
        <v>46.16</v>
      </c>
      <c r="CZ9">
        <f t="shared" si="8"/>
        <v>46.16</v>
      </c>
      <c r="DA9">
        <f t="shared" si="9"/>
        <v>1</v>
      </c>
      <c r="DB9">
        <f t="shared" si="1"/>
        <v>1.38</v>
      </c>
      <c r="DC9">
        <f t="shared" si="2"/>
        <v>0</v>
      </c>
      <c r="DD9" t="s">
        <v>4</v>
      </c>
      <c r="DE9" t="s">
        <v>4</v>
      </c>
      <c r="DF9">
        <f t="shared" si="3"/>
        <v>2.77</v>
      </c>
      <c r="DG9">
        <f t="shared" si="4"/>
        <v>0</v>
      </c>
      <c r="DH9">
        <f t="shared" si="5"/>
        <v>0</v>
      </c>
      <c r="DI9">
        <f t="shared" si="6"/>
        <v>0</v>
      </c>
      <c r="DJ9">
        <f t="shared" si="10"/>
        <v>2.77</v>
      </c>
      <c r="DK9">
        <v>0</v>
      </c>
      <c r="DL9" t="s">
        <v>4</v>
      </c>
      <c r="DM9">
        <v>0</v>
      </c>
      <c r="DN9" t="s">
        <v>4</v>
      </c>
      <c r="DO9">
        <v>0</v>
      </c>
    </row>
    <row r="10" spans="1:119">
      <c r="A10">
        <f>ROW(Source!A28)</f>
        <v>28</v>
      </c>
      <c r="B10">
        <v>70314467</v>
      </c>
      <c r="C10">
        <v>70315943</v>
      </c>
      <c r="D10">
        <v>69351117</v>
      </c>
      <c r="E10">
        <v>1</v>
      </c>
      <c r="F10">
        <v>1</v>
      </c>
      <c r="G10">
        <v>1075</v>
      </c>
      <c r="H10">
        <v>3</v>
      </c>
      <c r="I10" t="s">
        <v>139</v>
      </c>
      <c r="J10" t="s">
        <v>140</v>
      </c>
      <c r="K10" t="s">
        <v>141</v>
      </c>
      <c r="L10">
        <v>1301</v>
      </c>
      <c r="N10">
        <v>1003</v>
      </c>
      <c r="O10" t="s">
        <v>142</v>
      </c>
      <c r="P10" t="s">
        <v>142</v>
      </c>
      <c r="Q10">
        <v>1</v>
      </c>
      <c r="W10">
        <v>0</v>
      </c>
      <c r="X10">
        <v>1183683129</v>
      </c>
      <c r="Y10">
        <f t="shared" si="0"/>
        <v>2.5</v>
      </c>
      <c r="AA10">
        <v>0.7</v>
      </c>
      <c r="AB10">
        <v>0</v>
      </c>
      <c r="AC10">
        <v>0</v>
      </c>
      <c r="AD10">
        <v>0</v>
      </c>
      <c r="AE10">
        <v>0.7</v>
      </c>
      <c r="AF10">
        <v>0</v>
      </c>
      <c r="AG10">
        <v>0</v>
      </c>
      <c r="AH10">
        <v>0</v>
      </c>
      <c r="AI10">
        <v>1</v>
      </c>
      <c r="AJ10">
        <v>1</v>
      </c>
      <c r="AK10">
        <v>1</v>
      </c>
      <c r="AL10">
        <v>1</v>
      </c>
      <c r="AM10">
        <v>-2</v>
      </c>
      <c r="AN10">
        <v>0</v>
      </c>
      <c r="AO10">
        <v>1</v>
      </c>
      <c r="AP10">
        <v>0</v>
      </c>
      <c r="AQ10">
        <v>0</v>
      </c>
      <c r="AR10">
        <v>0</v>
      </c>
      <c r="AS10" t="s">
        <v>4</v>
      </c>
      <c r="AT10">
        <v>2.5</v>
      </c>
      <c r="AU10" t="s">
        <v>4</v>
      </c>
      <c r="AV10">
        <v>0</v>
      </c>
      <c r="AW10">
        <v>2</v>
      </c>
      <c r="AX10">
        <v>70315969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V10">
        <v>0</v>
      </c>
      <c r="CW10">
        <v>0</v>
      </c>
      <c r="CX10">
        <f>ROUND(Y10*Source!I28,9)</f>
        <v>5</v>
      </c>
      <c r="CY10">
        <f t="shared" si="7"/>
        <v>0.7</v>
      </c>
      <c r="CZ10">
        <f t="shared" si="8"/>
        <v>0.7</v>
      </c>
      <c r="DA10">
        <f t="shared" si="9"/>
        <v>1</v>
      </c>
      <c r="DB10">
        <f t="shared" si="1"/>
        <v>1.75</v>
      </c>
      <c r="DC10">
        <f t="shared" si="2"/>
        <v>0</v>
      </c>
      <c r="DD10" t="s">
        <v>4</v>
      </c>
      <c r="DE10" t="s">
        <v>4</v>
      </c>
      <c r="DF10">
        <f t="shared" si="3"/>
        <v>3.5</v>
      </c>
      <c r="DG10">
        <f t="shared" si="4"/>
        <v>0</v>
      </c>
      <c r="DH10">
        <f t="shared" si="5"/>
        <v>0</v>
      </c>
      <c r="DI10">
        <f t="shared" si="6"/>
        <v>0</v>
      </c>
      <c r="DJ10">
        <f t="shared" si="10"/>
        <v>3.5</v>
      </c>
      <c r="DK10">
        <v>0</v>
      </c>
      <c r="DL10" t="s">
        <v>4</v>
      </c>
      <c r="DM10">
        <v>0</v>
      </c>
      <c r="DN10" t="s">
        <v>4</v>
      </c>
      <c r="DO10">
        <v>0</v>
      </c>
    </row>
    <row r="11" spans="1:119">
      <c r="A11">
        <f>ROW(Source!A29)</f>
        <v>29</v>
      </c>
      <c r="B11">
        <v>70314464</v>
      </c>
      <c r="C11">
        <v>70315943</v>
      </c>
      <c r="D11">
        <v>69275358</v>
      </c>
      <c r="E11">
        <v>1075</v>
      </c>
      <c r="F11">
        <v>1</v>
      </c>
      <c r="G11">
        <v>1075</v>
      </c>
      <c r="H11">
        <v>1</v>
      </c>
      <c r="I11" t="s">
        <v>108</v>
      </c>
      <c r="J11" t="s">
        <v>4</v>
      </c>
      <c r="K11" t="s">
        <v>109</v>
      </c>
      <c r="L11">
        <v>1191</v>
      </c>
      <c r="N11">
        <v>1013</v>
      </c>
      <c r="O11" t="s">
        <v>110</v>
      </c>
      <c r="P11" t="s">
        <v>110</v>
      </c>
      <c r="Q11">
        <v>1</v>
      </c>
      <c r="W11">
        <v>0</v>
      </c>
      <c r="X11">
        <v>476480486</v>
      </c>
      <c r="Y11">
        <f t="shared" si="0"/>
        <v>28.8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1</v>
      </c>
      <c r="AJ11">
        <v>1</v>
      </c>
      <c r="AK11">
        <v>1</v>
      </c>
      <c r="AL11">
        <v>1</v>
      </c>
      <c r="AM11">
        <v>-2</v>
      </c>
      <c r="AN11">
        <v>0</v>
      </c>
      <c r="AO11">
        <v>1</v>
      </c>
      <c r="AP11">
        <v>0</v>
      </c>
      <c r="AQ11">
        <v>0</v>
      </c>
      <c r="AR11">
        <v>0</v>
      </c>
      <c r="AS11" t="s">
        <v>4</v>
      </c>
      <c r="AT11">
        <v>28.8</v>
      </c>
      <c r="AU11" t="s">
        <v>4</v>
      </c>
      <c r="AV11">
        <v>1</v>
      </c>
      <c r="AW11">
        <v>2</v>
      </c>
      <c r="AX11">
        <v>70315960</v>
      </c>
      <c r="AY11">
        <v>1</v>
      </c>
      <c r="AZ11">
        <v>0</v>
      </c>
      <c r="BA11">
        <v>13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ROUND(AT11*Source!I29*AH11*AL11,2)</f>
        <v>0</v>
      </c>
      <c r="CV11">
        <f>ROUND(Y11*Source!I29,9)</f>
        <v>57.6</v>
      </c>
      <c r="CW11">
        <v>0</v>
      </c>
      <c r="CX11">
        <f>ROUND(Y11*Source!I29,9)</f>
        <v>57.6</v>
      </c>
      <c r="CY11">
        <f>AD11</f>
        <v>0</v>
      </c>
      <c r="CZ11">
        <f>AH11</f>
        <v>0</v>
      </c>
      <c r="DA11">
        <f>AL11</f>
        <v>1</v>
      </c>
      <c r="DB11">
        <f t="shared" si="1"/>
        <v>0</v>
      </c>
      <c r="DC11">
        <f t="shared" si="2"/>
        <v>0</v>
      </c>
      <c r="DD11" t="s">
        <v>4</v>
      </c>
      <c r="DE11" t="s">
        <v>4</v>
      </c>
      <c r="DF11">
        <f t="shared" si="3"/>
        <v>0</v>
      </c>
      <c r="DG11">
        <f t="shared" si="4"/>
        <v>0</v>
      </c>
      <c r="DH11">
        <f t="shared" si="5"/>
        <v>0</v>
      </c>
      <c r="DI11">
        <f t="shared" si="6"/>
        <v>0</v>
      </c>
      <c r="DJ11">
        <f>DI11</f>
        <v>0</v>
      </c>
      <c r="DK11">
        <v>0</v>
      </c>
      <c r="DL11" t="s">
        <v>4</v>
      </c>
      <c r="DM11">
        <v>0</v>
      </c>
      <c r="DN11" t="s">
        <v>4</v>
      </c>
      <c r="DO11">
        <v>0</v>
      </c>
    </row>
    <row r="12" spans="1:119">
      <c r="A12">
        <f>ROW(Source!A29)</f>
        <v>29</v>
      </c>
      <c r="B12">
        <v>70314464</v>
      </c>
      <c r="C12">
        <v>70315943</v>
      </c>
      <c r="D12">
        <v>69364211</v>
      </c>
      <c r="E12">
        <v>1</v>
      </c>
      <c r="F12">
        <v>1</v>
      </c>
      <c r="G12">
        <v>1075</v>
      </c>
      <c r="H12">
        <v>2</v>
      </c>
      <c r="I12" t="s">
        <v>111</v>
      </c>
      <c r="J12" t="s">
        <v>112</v>
      </c>
      <c r="K12" t="s">
        <v>113</v>
      </c>
      <c r="L12">
        <v>1368</v>
      </c>
      <c r="N12">
        <v>1011</v>
      </c>
      <c r="O12" t="s">
        <v>114</v>
      </c>
      <c r="P12" t="s">
        <v>114</v>
      </c>
      <c r="Q12">
        <v>1</v>
      </c>
      <c r="W12">
        <v>0</v>
      </c>
      <c r="X12">
        <v>-1854754343</v>
      </c>
      <c r="Y12">
        <f t="shared" si="0"/>
        <v>0.17</v>
      </c>
      <c r="AA12">
        <v>0</v>
      </c>
      <c r="AB12">
        <v>87.69</v>
      </c>
      <c r="AC12">
        <v>0</v>
      </c>
      <c r="AD12">
        <v>0</v>
      </c>
      <c r="AE12">
        <v>0</v>
      </c>
      <c r="AF12">
        <v>7.11</v>
      </c>
      <c r="AG12">
        <v>0</v>
      </c>
      <c r="AH12">
        <v>0</v>
      </c>
      <c r="AI12">
        <v>1</v>
      </c>
      <c r="AJ12">
        <v>11.78</v>
      </c>
      <c r="AK12">
        <v>46.67</v>
      </c>
      <c r="AL12">
        <v>1</v>
      </c>
      <c r="AM12">
        <v>2</v>
      </c>
      <c r="AN12">
        <v>0</v>
      </c>
      <c r="AO12">
        <v>1</v>
      </c>
      <c r="AP12">
        <v>0</v>
      </c>
      <c r="AQ12">
        <v>0</v>
      </c>
      <c r="AR12">
        <v>0</v>
      </c>
      <c r="AS12" t="s">
        <v>4</v>
      </c>
      <c r="AT12">
        <v>0.17</v>
      </c>
      <c r="AU12" t="s">
        <v>4</v>
      </c>
      <c r="AV12">
        <v>0</v>
      </c>
      <c r="AW12">
        <v>2</v>
      </c>
      <c r="AX12">
        <v>70315961</v>
      </c>
      <c r="AY12">
        <v>1</v>
      </c>
      <c r="AZ12">
        <v>0</v>
      </c>
      <c r="BA12">
        <v>14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V12">
        <v>0</v>
      </c>
      <c r="CW12">
        <f>ROUND(Y12*Source!I29*DO12,9)</f>
        <v>0</v>
      </c>
      <c r="CX12">
        <f>ROUND(Y12*Source!I29,9)</f>
        <v>0.34</v>
      </c>
      <c r="CY12">
        <f>AB12</f>
        <v>87.69</v>
      </c>
      <c r="CZ12">
        <f>AF12</f>
        <v>7.11</v>
      </c>
      <c r="DA12">
        <f>AJ12</f>
        <v>11.78</v>
      </c>
      <c r="DB12">
        <f t="shared" si="1"/>
        <v>1.21</v>
      </c>
      <c r="DC12">
        <f t="shared" si="2"/>
        <v>0</v>
      </c>
      <c r="DD12" t="s">
        <v>4</v>
      </c>
      <c r="DE12" t="s">
        <v>4</v>
      </c>
      <c r="DF12">
        <f t="shared" si="3"/>
        <v>0</v>
      </c>
      <c r="DG12">
        <f>ROUND(ROUND(AF12*AJ12,2)*CX12,2)</f>
        <v>28.48</v>
      </c>
      <c r="DH12">
        <f>ROUND(ROUND(AG12*AK12,2)*CX12,2)</f>
        <v>0</v>
      </c>
      <c r="DI12">
        <f t="shared" si="6"/>
        <v>0</v>
      </c>
      <c r="DJ12">
        <f>DG12</f>
        <v>28.48</v>
      </c>
      <c r="DK12">
        <v>0</v>
      </c>
      <c r="DL12" t="s">
        <v>4</v>
      </c>
      <c r="DM12">
        <v>0</v>
      </c>
      <c r="DN12" t="s">
        <v>4</v>
      </c>
      <c r="DO12">
        <v>0</v>
      </c>
    </row>
    <row r="13" spans="1:119">
      <c r="A13">
        <f>ROW(Source!A29)</f>
        <v>29</v>
      </c>
      <c r="B13">
        <v>70314464</v>
      </c>
      <c r="C13">
        <v>70315943</v>
      </c>
      <c r="D13">
        <v>69364509</v>
      </c>
      <c r="E13">
        <v>1</v>
      </c>
      <c r="F13">
        <v>1</v>
      </c>
      <c r="G13">
        <v>1075</v>
      </c>
      <c r="H13">
        <v>2</v>
      </c>
      <c r="I13" t="s">
        <v>115</v>
      </c>
      <c r="J13" t="s">
        <v>116</v>
      </c>
      <c r="K13" t="s">
        <v>117</v>
      </c>
      <c r="L13">
        <v>1368</v>
      </c>
      <c r="N13">
        <v>1011</v>
      </c>
      <c r="O13" t="s">
        <v>114</v>
      </c>
      <c r="P13" t="s">
        <v>114</v>
      </c>
      <c r="Q13">
        <v>1</v>
      </c>
      <c r="W13">
        <v>0</v>
      </c>
      <c r="X13">
        <v>322366203</v>
      </c>
      <c r="Y13">
        <f t="shared" si="0"/>
        <v>2.93</v>
      </c>
      <c r="AA13">
        <v>0</v>
      </c>
      <c r="AB13">
        <v>1308.57</v>
      </c>
      <c r="AC13">
        <v>616.66</v>
      </c>
      <c r="AD13">
        <v>0</v>
      </c>
      <c r="AE13">
        <v>0</v>
      </c>
      <c r="AF13">
        <v>83.1</v>
      </c>
      <c r="AG13">
        <v>12.62</v>
      </c>
      <c r="AH13">
        <v>0</v>
      </c>
      <c r="AI13">
        <v>1</v>
      </c>
      <c r="AJ13">
        <v>15.04</v>
      </c>
      <c r="AK13">
        <v>46.67</v>
      </c>
      <c r="AL13">
        <v>1</v>
      </c>
      <c r="AM13">
        <v>2</v>
      </c>
      <c r="AN13">
        <v>0</v>
      </c>
      <c r="AO13">
        <v>1</v>
      </c>
      <c r="AP13">
        <v>0</v>
      </c>
      <c r="AQ13">
        <v>0</v>
      </c>
      <c r="AR13">
        <v>0</v>
      </c>
      <c r="AS13" t="s">
        <v>4</v>
      </c>
      <c r="AT13">
        <v>2.93</v>
      </c>
      <c r="AU13" t="s">
        <v>4</v>
      </c>
      <c r="AV13">
        <v>0</v>
      </c>
      <c r="AW13">
        <v>2</v>
      </c>
      <c r="AX13">
        <v>70315962</v>
      </c>
      <c r="AY13">
        <v>1</v>
      </c>
      <c r="AZ13">
        <v>0</v>
      </c>
      <c r="BA13">
        <v>15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V13">
        <v>0</v>
      </c>
      <c r="CW13">
        <f>ROUND(Y13*Source!I29*DO13,9)</f>
        <v>0</v>
      </c>
      <c r="CX13">
        <f>ROUND(Y13*Source!I29,9)</f>
        <v>5.86</v>
      </c>
      <c r="CY13">
        <f>AB13</f>
        <v>1308.57</v>
      </c>
      <c r="CZ13">
        <f>AF13</f>
        <v>83.1</v>
      </c>
      <c r="DA13">
        <f>AJ13</f>
        <v>15.04</v>
      </c>
      <c r="DB13">
        <f t="shared" si="1"/>
        <v>243.48</v>
      </c>
      <c r="DC13">
        <f t="shared" si="2"/>
        <v>36.979999999999997</v>
      </c>
      <c r="DD13" t="s">
        <v>4</v>
      </c>
      <c r="DE13" t="s">
        <v>4</v>
      </c>
      <c r="DF13">
        <f t="shared" si="3"/>
        <v>0</v>
      </c>
      <c r="DG13">
        <f>ROUND(ROUND(AF13*AJ13,2)*CX13,2)</f>
        <v>7323.95</v>
      </c>
      <c r="DH13">
        <f>ROUND(ROUND(AG13*AK13,2)*CX13,2)</f>
        <v>3451.42</v>
      </c>
      <c r="DI13">
        <f t="shared" si="6"/>
        <v>0</v>
      </c>
      <c r="DJ13">
        <f>DG13</f>
        <v>7323.95</v>
      </c>
      <c r="DK13">
        <v>0</v>
      </c>
      <c r="DL13" t="s">
        <v>4</v>
      </c>
      <c r="DM13">
        <v>0</v>
      </c>
      <c r="DN13" t="s">
        <v>4</v>
      </c>
      <c r="DO13">
        <v>0</v>
      </c>
    </row>
    <row r="14" spans="1:119">
      <c r="A14">
        <f>ROW(Source!A29)</f>
        <v>29</v>
      </c>
      <c r="B14">
        <v>70314464</v>
      </c>
      <c r="C14">
        <v>70315943</v>
      </c>
      <c r="D14">
        <v>69363847</v>
      </c>
      <c r="E14">
        <v>1</v>
      </c>
      <c r="F14">
        <v>1</v>
      </c>
      <c r="G14">
        <v>1075</v>
      </c>
      <c r="H14">
        <v>2</v>
      </c>
      <c r="I14" t="s">
        <v>118</v>
      </c>
      <c r="J14" t="s">
        <v>119</v>
      </c>
      <c r="K14" t="s">
        <v>120</v>
      </c>
      <c r="L14">
        <v>1368</v>
      </c>
      <c r="N14">
        <v>1011</v>
      </c>
      <c r="O14" t="s">
        <v>114</v>
      </c>
      <c r="P14" t="s">
        <v>114</v>
      </c>
      <c r="Q14">
        <v>1</v>
      </c>
      <c r="W14">
        <v>0</v>
      </c>
      <c r="X14">
        <v>-1536647364</v>
      </c>
      <c r="Y14">
        <f t="shared" si="0"/>
        <v>15.5</v>
      </c>
      <c r="AA14">
        <v>0</v>
      </c>
      <c r="AB14">
        <v>712.62</v>
      </c>
      <c r="AC14">
        <v>499.38</v>
      </c>
      <c r="AD14">
        <v>0</v>
      </c>
      <c r="AE14">
        <v>0</v>
      </c>
      <c r="AF14">
        <v>31.15</v>
      </c>
      <c r="AG14">
        <v>10.220000000000001</v>
      </c>
      <c r="AH14">
        <v>0</v>
      </c>
      <c r="AI14">
        <v>1</v>
      </c>
      <c r="AJ14">
        <v>21.85</v>
      </c>
      <c r="AK14">
        <v>46.67</v>
      </c>
      <c r="AL14">
        <v>1</v>
      </c>
      <c r="AM14">
        <v>2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4</v>
      </c>
      <c r="AT14">
        <v>15.5</v>
      </c>
      <c r="AU14" t="s">
        <v>4</v>
      </c>
      <c r="AV14">
        <v>0</v>
      </c>
      <c r="AW14">
        <v>2</v>
      </c>
      <c r="AX14">
        <v>70315963</v>
      </c>
      <c r="AY14">
        <v>1</v>
      </c>
      <c r="AZ14">
        <v>0</v>
      </c>
      <c r="BA14">
        <v>16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V14">
        <v>0</v>
      </c>
      <c r="CW14">
        <f>ROUND(Y14*Source!I29*DO14,9)</f>
        <v>0</v>
      </c>
      <c r="CX14">
        <f>ROUND(Y14*Source!I29,9)</f>
        <v>31</v>
      </c>
      <c r="CY14">
        <f>AB14</f>
        <v>712.62</v>
      </c>
      <c r="CZ14">
        <f>AF14</f>
        <v>31.15</v>
      </c>
      <c r="DA14">
        <f>AJ14</f>
        <v>21.85</v>
      </c>
      <c r="DB14">
        <f t="shared" si="1"/>
        <v>482.83</v>
      </c>
      <c r="DC14">
        <f t="shared" si="2"/>
        <v>158.41</v>
      </c>
      <c r="DD14" t="s">
        <v>4</v>
      </c>
      <c r="DE14" t="s">
        <v>4</v>
      </c>
      <c r="DF14">
        <f t="shared" si="3"/>
        <v>0</v>
      </c>
      <c r="DG14">
        <f>ROUND(ROUND(AF14*AJ14,2)*CX14,2)</f>
        <v>21099.53</v>
      </c>
      <c r="DH14">
        <f>ROUND(ROUND(AG14*AK14,2)*CX14,2)</f>
        <v>14786.07</v>
      </c>
      <c r="DI14">
        <f t="shared" si="6"/>
        <v>0</v>
      </c>
      <c r="DJ14">
        <f>DG14</f>
        <v>21099.53</v>
      </c>
      <c r="DK14">
        <v>0</v>
      </c>
      <c r="DL14" t="s">
        <v>4</v>
      </c>
      <c r="DM14">
        <v>0</v>
      </c>
      <c r="DN14" t="s">
        <v>4</v>
      </c>
      <c r="DO14">
        <v>0</v>
      </c>
    </row>
    <row r="15" spans="1:119">
      <c r="A15">
        <f>ROW(Source!A29)</f>
        <v>29</v>
      </c>
      <c r="B15">
        <v>70314464</v>
      </c>
      <c r="C15">
        <v>70315943</v>
      </c>
      <c r="D15">
        <v>69334386</v>
      </c>
      <c r="E15">
        <v>1</v>
      </c>
      <c r="F15">
        <v>1</v>
      </c>
      <c r="G15">
        <v>1075</v>
      </c>
      <c r="H15">
        <v>3</v>
      </c>
      <c r="I15" t="s">
        <v>121</v>
      </c>
      <c r="J15" t="s">
        <v>122</v>
      </c>
      <c r="K15" t="s">
        <v>123</v>
      </c>
      <c r="L15">
        <v>1346</v>
      </c>
      <c r="N15">
        <v>1009</v>
      </c>
      <c r="O15" t="s">
        <v>124</v>
      </c>
      <c r="P15" t="s">
        <v>124</v>
      </c>
      <c r="Q15">
        <v>1</v>
      </c>
      <c r="W15">
        <v>0</v>
      </c>
      <c r="X15">
        <v>1295075275</v>
      </c>
      <c r="Y15">
        <f t="shared" si="0"/>
        <v>2.4</v>
      </c>
      <c r="AA15">
        <v>919.37</v>
      </c>
      <c r="AB15">
        <v>0</v>
      </c>
      <c r="AC15">
        <v>0</v>
      </c>
      <c r="AD15">
        <v>0</v>
      </c>
      <c r="AE15">
        <v>26.89</v>
      </c>
      <c r="AF15">
        <v>0</v>
      </c>
      <c r="AG15">
        <v>0</v>
      </c>
      <c r="AH15">
        <v>0</v>
      </c>
      <c r="AI15">
        <v>34.19</v>
      </c>
      <c r="AJ15">
        <v>1</v>
      </c>
      <c r="AK15">
        <v>1</v>
      </c>
      <c r="AL15">
        <v>1</v>
      </c>
      <c r="AM15">
        <v>2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4</v>
      </c>
      <c r="AT15">
        <v>2.4</v>
      </c>
      <c r="AU15" t="s">
        <v>4</v>
      </c>
      <c r="AV15">
        <v>0</v>
      </c>
      <c r="AW15">
        <v>2</v>
      </c>
      <c r="AX15">
        <v>70315964</v>
      </c>
      <c r="AY15">
        <v>1</v>
      </c>
      <c r="AZ15">
        <v>0</v>
      </c>
      <c r="BA15">
        <v>17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V15">
        <v>0</v>
      </c>
      <c r="CW15">
        <v>0</v>
      </c>
      <c r="CX15">
        <f>ROUND(Y15*Source!I29,9)</f>
        <v>4.8</v>
      </c>
      <c r="CY15">
        <f t="shared" ref="CY15:CY20" si="11">AA15</f>
        <v>919.37</v>
      </c>
      <c r="CZ15">
        <f t="shared" ref="CZ15:CZ20" si="12">AE15</f>
        <v>26.89</v>
      </c>
      <c r="DA15">
        <f t="shared" ref="DA15:DA20" si="13">AI15</f>
        <v>34.19</v>
      </c>
      <c r="DB15">
        <f t="shared" si="1"/>
        <v>64.540000000000006</v>
      </c>
      <c r="DC15">
        <f t="shared" si="2"/>
        <v>0</v>
      </c>
      <c r="DD15" t="s">
        <v>4</v>
      </c>
      <c r="DE15" t="s">
        <v>4</v>
      </c>
      <c r="DF15">
        <f t="shared" ref="DF15:DF20" si="14">ROUND(ROUND(AE15*AI15,2)*CX15,2)</f>
        <v>4412.9799999999996</v>
      </c>
      <c r="DG15">
        <f t="shared" ref="DG15:DG20" si="15">ROUND(ROUND(AF15,2)*CX15,2)</f>
        <v>0</v>
      </c>
      <c r="DH15">
        <f t="shared" ref="DH15:DH20" si="16">ROUND(ROUND(AG15,2)*CX15,2)</f>
        <v>0</v>
      </c>
      <c r="DI15">
        <f t="shared" si="6"/>
        <v>0</v>
      </c>
      <c r="DJ15">
        <f t="shared" ref="DJ15:DJ20" si="17">DF15</f>
        <v>4412.9799999999996</v>
      </c>
      <c r="DK15">
        <v>0</v>
      </c>
      <c r="DL15" t="s">
        <v>4</v>
      </c>
      <c r="DM15">
        <v>0</v>
      </c>
      <c r="DN15" t="s">
        <v>4</v>
      </c>
      <c r="DO15">
        <v>0</v>
      </c>
    </row>
    <row r="16" spans="1:119">
      <c r="A16">
        <f>ROW(Source!A29)</f>
        <v>29</v>
      </c>
      <c r="B16">
        <v>70314464</v>
      </c>
      <c r="C16">
        <v>70315943</v>
      </c>
      <c r="D16">
        <v>69334411</v>
      </c>
      <c r="E16">
        <v>1</v>
      </c>
      <c r="F16">
        <v>1</v>
      </c>
      <c r="G16">
        <v>1075</v>
      </c>
      <c r="H16">
        <v>3</v>
      </c>
      <c r="I16" t="s">
        <v>125</v>
      </c>
      <c r="J16" t="s">
        <v>126</v>
      </c>
      <c r="K16" t="s">
        <v>127</v>
      </c>
      <c r="L16">
        <v>1348</v>
      </c>
      <c r="N16">
        <v>1009</v>
      </c>
      <c r="O16" t="s">
        <v>128</v>
      </c>
      <c r="P16" t="s">
        <v>128</v>
      </c>
      <c r="Q16">
        <v>1000</v>
      </c>
      <c r="W16">
        <v>0</v>
      </c>
      <c r="X16">
        <v>-606968375</v>
      </c>
      <c r="Y16">
        <f t="shared" si="0"/>
        <v>1E-3</v>
      </c>
      <c r="AA16">
        <v>67978.23</v>
      </c>
      <c r="AB16">
        <v>0</v>
      </c>
      <c r="AC16">
        <v>0</v>
      </c>
      <c r="AD16">
        <v>0</v>
      </c>
      <c r="AE16">
        <v>7254.88</v>
      </c>
      <c r="AF16">
        <v>0</v>
      </c>
      <c r="AG16">
        <v>0</v>
      </c>
      <c r="AH16">
        <v>0</v>
      </c>
      <c r="AI16">
        <v>9.3699999999999992</v>
      </c>
      <c r="AJ16">
        <v>1</v>
      </c>
      <c r="AK16">
        <v>1</v>
      </c>
      <c r="AL16">
        <v>1</v>
      </c>
      <c r="AM16">
        <v>2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4</v>
      </c>
      <c r="AT16">
        <v>1E-3</v>
      </c>
      <c r="AU16" t="s">
        <v>4</v>
      </c>
      <c r="AV16">
        <v>0</v>
      </c>
      <c r="AW16">
        <v>2</v>
      </c>
      <c r="AX16">
        <v>70315965</v>
      </c>
      <c r="AY16">
        <v>1</v>
      </c>
      <c r="AZ16">
        <v>0</v>
      </c>
      <c r="BA16">
        <v>18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V16">
        <v>0</v>
      </c>
      <c r="CW16">
        <v>0</v>
      </c>
      <c r="CX16">
        <f>ROUND(Y16*Source!I29,9)</f>
        <v>2E-3</v>
      </c>
      <c r="CY16">
        <f t="shared" si="11"/>
        <v>67978.23</v>
      </c>
      <c r="CZ16">
        <f t="shared" si="12"/>
        <v>7254.88</v>
      </c>
      <c r="DA16">
        <f t="shared" si="13"/>
        <v>9.3699999999999992</v>
      </c>
      <c r="DB16">
        <f t="shared" si="1"/>
        <v>7.25</v>
      </c>
      <c r="DC16">
        <f t="shared" si="2"/>
        <v>0</v>
      </c>
      <c r="DD16" t="s">
        <v>4</v>
      </c>
      <c r="DE16" t="s">
        <v>4</v>
      </c>
      <c r="DF16">
        <f t="shared" si="14"/>
        <v>135.96</v>
      </c>
      <c r="DG16">
        <f t="shared" si="15"/>
        <v>0</v>
      </c>
      <c r="DH16">
        <f t="shared" si="16"/>
        <v>0</v>
      </c>
      <c r="DI16">
        <f t="shared" si="6"/>
        <v>0</v>
      </c>
      <c r="DJ16">
        <f t="shared" si="17"/>
        <v>135.96</v>
      </c>
      <c r="DK16">
        <v>0</v>
      </c>
      <c r="DL16" t="s">
        <v>4</v>
      </c>
      <c r="DM16">
        <v>0</v>
      </c>
      <c r="DN16" t="s">
        <v>4</v>
      </c>
      <c r="DO16">
        <v>0</v>
      </c>
    </row>
    <row r="17" spans="1:119">
      <c r="A17">
        <f>ROW(Source!A29)</f>
        <v>29</v>
      </c>
      <c r="B17">
        <v>70314464</v>
      </c>
      <c r="C17">
        <v>70315943</v>
      </c>
      <c r="D17">
        <v>69334814</v>
      </c>
      <c r="E17">
        <v>1</v>
      </c>
      <c r="F17">
        <v>1</v>
      </c>
      <c r="G17">
        <v>1075</v>
      </c>
      <c r="H17">
        <v>3</v>
      </c>
      <c r="I17" t="s">
        <v>129</v>
      </c>
      <c r="J17" t="s">
        <v>130</v>
      </c>
      <c r="K17" t="s">
        <v>131</v>
      </c>
      <c r="L17">
        <v>1346</v>
      </c>
      <c r="N17">
        <v>1009</v>
      </c>
      <c r="O17" t="s">
        <v>124</v>
      </c>
      <c r="P17" t="s">
        <v>124</v>
      </c>
      <c r="Q17">
        <v>1</v>
      </c>
      <c r="W17">
        <v>0</v>
      </c>
      <c r="X17">
        <v>-2000333744</v>
      </c>
      <c r="Y17">
        <f t="shared" si="0"/>
        <v>0.2</v>
      </c>
      <c r="AA17">
        <v>87.91</v>
      </c>
      <c r="AB17">
        <v>0</v>
      </c>
      <c r="AC17">
        <v>0</v>
      </c>
      <c r="AD17">
        <v>0</v>
      </c>
      <c r="AE17">
        <v>29.9</v>
      </c>
      <c r="AF17">
        <v>0</v>
      </c>
      <c r="AG17">
        <v>0</v>
      </c>
      <c r="AH17">
        <v>0</v>
      </c>
      <c r="AI17">
        <v>2.94</v>
      </c>
      <c r="AJ17">
        <v>1</v>
      </c>
      <c r="AK17">
        <v>1</v>
      </c>
      <c r="AL17">
        <v>1</v>
      </c>
      <c r="AM17">
        <v>2</v>
      </c>
      <c r="AN17">
        <v>0</v>
      </c>
      <c r="AO17">
        <v>1</v>
      </c>
      <c r="AP17">
        <v>0</v>
      </c>
      <c r="AQ17">
        <v>0</v>
      </c>
      <c r="AR17">
        <v>0</v>
      </c>
      <c r="AS17" t="s">
        <v>4</v>
      </c>
      <c r="AT17">
        <v>0.2</v>
      </c>
      <c r="AU17" t="s">
        <v>4</v>
      </c>
      <c r="AV17">
        <v>0</v>
      </c>
      <c r="AW17">
        <v>2</v>
      </c>
      <c r="AX17">
        <v>70315966</v>
      </c>
      <c r="AY17">
        <v>1</v>
      </c>
      <c r="AZ17">
        <v>0</v>
      </c>
      <c r="BA17">
        <v>19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V17">
        <v>0</v>
      </c>
      <c r="CW17">
        <v>0</v>
      </c>
      <c r="CX17">
        <f>ROUND(Y17*Source!I29,9)</f>
        <v>0.4</v>
      </c>
      <c r="CY17">
        <f t="shared" si="11"/>
        <v>87.91</v>
      </c>
      <c r="CZ17">
        <f t="shared" si="12"/>
        <v>29.9</v>
      </c>
      <c r="DA17">
        <f t="shared" si="13"/>
        <v>2.94</v>
      </c>
      <c r="DB17">
        <f t="shared" si="1"/>
        <v>5.98</v>
      </c>
      <c r="DC17">
        <f t="shared" si="2"/>
        <v>0</v>
      </c>
      <c r="DD17" t="s">
        <v>4</v>
      </c>
      <c r="DE17" t="s">
        <v>4</v>
      </c>
      <c r="DF17">
        <f t="shared" si="14"/>
        <v>35.159999999999997</v>
      </c>
      <c r="DG17">
        <f t="shared" si="15"/>
        <v>0</v>
      </c>
      <c r="DH17">
        <f t="shared" si="16"/>
        <v>0</v>
      </c>
      <c r="DI17">
        <f t="shared" si="6"/>
        <v>0</v>
      </c>
      <c r="DJ17">
        <f t="shared" si="17"/>
        <v>35.159999999999997</v>
      </c>
      <c r="DK17">
        <v>0</v>
      </c>
      <c r="DL17" t="s">
        <v>4</v>
      </c>
      <c r="DM17">
        <v>0</v>
      </c>
      <c r="DN17" t="s">
        <v>4</v>
      </c>
      <c r="DO17">
        <v>0</v>
      </c>
    </row>
    <row r="18" spans="1:119">
      <c r="A18">
        <f>ROW(Source!A29)</f>
        <v>29</v>
      </c>
      <c r="B18">
        <v>70314464</v>
      </c>
      <c r="C18">
        <v>70315943</v>
      </c>
      <c r="D18">
        <v>69335526</v>
      </c>
      <c r="E18">
        <v>1</v>
      </c>
      <c r="F18">
        <v>1</v>
      </c>
      <c r="G18">
        <v>1075</v>
      </c>
      <c r="H18">
        <v>3</v>
      </c>
      <c r="I18" t="s">
        <v>132</v>
      </c>
      <c r="J18" t="s">
        <v>133</v>
      </c>
      <c r="K18" t="s">
        <v>134</v>
      </c>
      <c r="L18">
        <v>1346</v>
      </c>
      <c r="N18">
        <v>1009</v>
      </c>
      <c r="O18" t="s">
        <v>124</v>
      </c>
      <c r="P18" t="s">
        <v>124</v>
      </c>
      <c r="Q18">
        <v>1</v>
      </c>
      <c r="W18">
        <v>0</v>
      </c>
      <c r="X18">
        <v>-1164981962</v>
      </c>
      <c r="Y18">
        <f t="shared" si="0"/>
        <v>0.3</v>
      </c>
      <c r="AA18">
        <v>177.16</v>
      </c>
      <c r="AB18">
        <v>0</v>
      </c>
      <c r="AC18">
        <v>0</v>
      </c>
      <c r="AD18">
        <v>0</v>
      </c>
      <c r="AE18">
        <v>21.04</v>
      </c>
      <c r="AF18">
        <v>0</v>
      </c>
      <c r="AG18">
        <v>0</v>
      </c>
      <c r="AH18">
        <v>0</v>
      </c>
      <c r="AI18">
        <v>8.42</v>
      </c>
      <c r="AJ18">
        <v>1</v>
      </c>
      <c r="AK18">
        <v>1</v>
      </c>
      <c r="AL18">
        <v>1</v>
      </c>
      <c r="AM18">
        <v>2</v>
      </c>
      <c r="AN18">
        <v>0</v>
      </c>
      <c r="AO18">
        <v>1</v>
      </c>
      <c r="AP18">
        <v>0</v>
      </c>
      <c r="AQ18">
        <v>0</v>
      </c>
      <c r="AR18">
        <v>0</v>
      </c>
      <c r="AS18" t="s">
        <v>4</v>
      </c>
      <c r="AT18">
        <v>0.3</v>
      </c>
      <c r="AU18" t="s">
        <v>4</v>
      </c>
      <c r="AV18">
        <v>0</v>
      </c>
      <c r="AW18">
        <v>2</v>
      </c>
      <c r="AX18">
        <v>70315967</v>
      </c>
      <c r="AY18">
        <v>1</v>
      </c>
      <c r="AZ18">
        <v>0</v>
      </c>
      <c r="BA18">
        <v>20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V18">
        <v>0</v>
      </c>
      <c r="CW18">
        <v>0</v>
      </c>
      <c r="CX18">
        <f>ROUND(Y18*Source!I29,9)</f>
        <v>0.6</v>
      </c>
      <c r="CY18">
        <f t="shared" si="11"/>
        <v>177.16</v>
      </c>
      <c r="CZ18">
        <f t="shared" si="12"/>
        <v>21.04</v>
      </c>
      <c r="DA18">
        <f t="shared" si="13"/>
        <v>8.42</v>
      </c>
      <c r="DB18">
        <f t="shared" si="1"/>
        <v>6.31</v>
      </c>
      <c r="DC18">
        <f t="shared" si="2"/>
        <v>0</v>
      </c>
      <c r="DD18" t="s">
        <v>4</v>
      </c>
      <c r="DE18" t="s">
        <v>4</v>
      </c>
      <c r="DF18">
        <f t="shared" si="14"/>
        <v>106.3</v>
      </c>
      <c r="DG18">
        <f t="shared" si="15"/>
        <v>0</v>
      </c>
      <c r="DH18">
        <f t="shared" si="16"/>
        <v>0</v>
      </c>
      <c r="DI18">
        <f t="shared" si="6"/>
        <v>0</v>
      </c>
      <c r="DJ18">
        <f t="shared" si="17"/>
        <v>106.3</v>
      </c>
      <c r="DK18">
        <v>0</v>
      </c>
      <c r="DL18" t="s">
        <v>4</v>
      </c>
      <c r="DM18">
        <v>0</v>
      </c>
      <c r="DN18" t="s">
        <v>4</v>
      </c>
      <c r="DO18">
        <v>0</v>
      </c>
    </row>
    <row r="19" spans="1:119">
      <c r="A19">
        <f>ROW(Source!A29)</f>
        <v>29</v>
      </c>
      <c r="B19">
        <v>70314464</v>
      </c>
      <c r="C19">
        <v>70315943</v>
      </c>
      <c r="D19">
        <v>69340457</v>
      </c>
      <c r="E19">
        <v>1</v>
      </c>
      <c r="F19">
        <v>1</v>
      </c>
      <c r="G19">
        <v>1075</v>
      </c>
      <c r="H19">
        <v>3</v>
      </c>
      <c r="I19" t="s">
        <v>135</v>
      </c>
      <c r="J19" t="s">
        <v>136</v>
      </c>
      <c r="K19" t="s">
        <v>137</v>
      </c>
      <c r="L19">
        <v>1302</v>
      </c>
      <c r="N19">
        <v>1003</v>
      </c>
      <c r="O19" t="s">
        <v>138</v>
      </c>
      <c r="P19" t="s">
        <v>138</v>
      </c>
      <c r="Q19">
        <v>10</v>
      </c>
      <c r="W19">
        <v>0</v>
      </c>
      <c r="X19">
        <v>-471450150</v>
      </c>
      <c r="Y19">
        <f t="shared" si="0"/>
        <v>0.03</v>
      </c>
      <c r="AA19">
        <v>326.81</v>
      </c>
      <c r="AB19">
        <v>0</v>
      </c>
      <c r="AC19">
        <v>0</v>
      </c>
      <c r="AD19">
        <v>0</v>
      </c>
      <c r="AE19">
        <v>46.16</v>
      </c>
      <c r="AF19">
        <v>0</v>
      </c>
      <c r="AG19">
        <v>0</v>
      </c>
      <c r="AH19">
        <v>0</v>
      </c>
      <c r="AI19">
        <v>7.08</v>
      </c>
      <c r="AJ19">
        <v>1</v>
      </c>
      <c r="AK19">
        <v>1</v>
      </c>
      <c r="AL19">
        <v>1</v>
      </c>
      <c r="AM19">
        <v>2</v>
      </c>
      <c r="AN19">
        <v>0</v>
      </c>
      <c r="AO19">
        <v>1</v>
      </c>
      <c r="AP19">
        <v>0</v>
      </c>
      <c r="AQ19">
        <v>0</v>
      </c>
      <c r="AR19">
        <v>0</v>
      </c>
      <c r="AS19" t="s">
        <v>4</v>
      </c>
      <c r="AT19">
        <v>0.03</v>
      </c>
      <c r="AU19" t="s">
        <v>4</v>
      </c>
      <c r="AV19">
        <v>0</v>
      </c>
      <c r="AW19">
        <v>2</v>
      </c>
      <c r="AX19">
        <v>70315968</v>
      </c>
      <c r="AY19">
        <v>1</v>
      </c>
      <c r="AZ19">
        <v>0</v>
      </c>
      <c r="BA19">
        <v>21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V19">
        <v>0</v>
      </c>
      <c r="CW19">
        <v>0</v>
      </c>
      <c r="CX19">
        <f>ROUND(Y19*Source!I29,9)</f>
        <v>0.06</v>
      </c>
      <c r="CY19">
        <f t="shared" si="11"/>
        <v>326.81</v>
      </c>
      <c r="CZ19">
        <f t="shared" si="12"/>
        <v>46.16</v>
      </c>
      <c r="DA19">
        <f t="shared" si="13"/>
        <v>7.08</v>
      </c>
      <c r="DB19">
        <f t="shared" si="1"/>
        <v>1.38</v>
      </c>
      <c r="DC19">
        <f t="shared" si="2"/>
        <v>0</v>
      </c>
      <c r="DD19" t="s">
        <v>4</v>
      </c>
      <c r="DE19" t="s">
        <v>4</v>
      </c>
      <c r="DF19">
        <f t="shared" si="14"/>
        <v>19.61</v>
      </c>
      <c r="DG19">
        <f t="shared" si="15"/>
        <v>0</v>
      </c>
      <c r="DH19">
        <f t="shared" si="16"/>
        <v>0</v>
      </c>
      <c r="DI19">
        <f t="shared" si="6"/>
        <v>0</v>
      </c>
      <c r="DJ19">
        <f t="shared" si="17"/>
        <v>19.61</v>
      </c>
      <c r="DK19">
        <v>0</v>
      </c>
      <c r="DL19" t="s">
        <v>4</v>
      </c>
      <c r="DM19">
        <v>0</v>
      </c>
      <c r="DN19" t="s">
        <v>4</v>
      </c>
      <c r="DO19">
        <v>0</v>
      </c>
    </row>
    <row r="20" spans="1:119">
      <c r="A20">
        <f>ROW(Source!A29)</f>
        <v>29</v>
      </c>
      <c r="B20">
        <v>70314464</v>
      </c>
      <c r="C20">
        <v>70315943</v>
      </c>
      <c r="D20">
        <v>69351117</v>
      </c>
      <c r="E20">
        <v>1</v>
      </c>
      <c r="F20">
        <v>1</v>
      </c>
      <c r="G20">
        <v>1075</v>
      </c>
      <c r="H20">
        <v>3</v>
      </c>
      <c r="I20" t="s">
        <v>139</v>
      </c>
      <c r="J20" t="s">
        <v>140</v>
      </c>
      <c r="K20" t="s">
        <v>141</v>
      </c>
      <c r="L20">
        <v>1301</v>
      </c>
      <c r="N20">
        <v>1003</v>
      </c>
      <c r="O20" t="s">
        <v>142</v>
      </c>
      <c r="P20" t="s">
        <v>142</v>
      </c>
      <c r="Q20">
        <v>1</v>
      </c>
      <c r="W20">
        <v>0</v>
      </c>
      <c r="X20">
        <v>1183683129</v>
      </c>
      <c r="Y20">
        <f t="shared" si="0"/>
        <v>2.5</v>
      </c>
      <c r="AA20">
        <v>4.72</v>
      </c>
      <c r="AB20">
        <v>0</v>
      </c>
      <c r="AC20">
        <v>0</v>
      </c>
      <c r="AD20">
        <v>0</v>
      </c>
      <c r="AE20">
        <v>0.7</v>
      </c>
      <c r="AF20">
        <v>0</v>
      </c>
      <c r="AG20">
        <v>0</v>
      </c>
      <c r="AH20">
        <v>0</v>
      </c>
      <c r="AI20">
        <v>6.74</v>
      </c>
      <c r="AJ20">
        <v>1</v>
      </c>
      <c r="AK20">
        <v>1</v>
      </c>
      <c r="AL20">
        <v>1</v>
      </c>
      <c r="AM20">
        <v>2</v>
      </c>
      <c r="AN20">
        <v>0</v>
      </c>
      <c r="AO20">
        <v>1</v>
      </c>
      <c r="AP20">
        <v>0</v>
      </c>
      <c r="AQ20">
        <v>0</v>
      </c>
      <c r="AR20">
        <v>0</v>
      </c>
      <c r="AS20" t="s">
        <v>4</v>
      </c>
      <c r="AT20">
        <v>2.5</v>
      </c>
      <c r="AU20" t="s">
        <v>4</v>
      </c>
      <c r="AV20">
        <v>0</v>
      </c>
      <c r="AW20">
        <v>2</v>
      </c>
      <c r="AX20">
        <v>70315969</v>
      </c>
      <c r="AY20">
        <v>1</v>
      </c>
      <c r="AZ20">
        <v>0</v>
      </c>
      <c r="BA20">
        <v>22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V20">
        <v>0</v>
      </c>
      <c r="CW20">
        <v>0</v>
      </c>
      <c r="CX20">
        <f>ROUND(Y20*Source!I29,9)</f>
        <v>5</v>
      </c>
      <c r="CY20">
        <f t="shared" si="11"/>
        <v>4.72</v>
      </c>
      <c r="CZ20">
        <f t="shared" si="12"/>
        <v>0.7</v>
      </c>
      <c r="DA20">
        <f t="shared" si="13"/>
        <v>6.74</v>
      </c>
      <c r="DB20">
        <f t="shared" si="1"/>
        <v>1.75</v>
      </c>
      <c r="DC20">
        <f t="shared" si="2"/>
        <v>0</v>
      </c>
      <c r="DD20" t="s">
        <v>4</v>
      </c>
      <c r="DE20" t="s">
        <v>4</v>
      </c>
      <c r="DF20">
        <f t="shared" si="14"/>
        <v>23.6</v>
      </c>
      <c r="DG20">
        <f t="shared" si="15"/>
        <v>0</v>
      </c>
      <c r="DH20">
        <f t="shared" si="16"/>
        <v>0</v>
      </c>
      <c r="DI20">
        <f t="shared" si="6"/>
        <v>0</v>
      </c>
      <c r="DJ20">
        <f t="shared" si="17"/>
        <v>23.6</v>
      </c>
      <c r="DK20">
        <v>0</v>
      </c>
      <c r="DL20" t="s">
        <v>4</v>
      </c>
      <c r="DM20">
        <v>0</v>
      </c>
      <c r="DN20" t="s">
        <v>4</v>
      </c>
      <c r="DO2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24"/>
  <sheetViews>
    <sheetView workbookViewId="0"/>
  </sheetViews>
  <sheetFormatPr defaultColWidth="9.109375" defaultRowHeight="12.7"/>
  <cols>
    <col min="1" max="256" width="9.109375" customWidth="1"/>
  </cols>
  <sheetData>
    <row r="1" spans="1:44">
      <c r="A1">
        <f>ROW(Source!A28)</f>
        <v>28</v>
      </c>
      <c r="B1">
        <v>70315960</v>
      </c>
      <c r="C1">
        <v>70315943</v>
      </c>
      <c r="D1">
        <v>69275358</v>
      </c>
      <c r="E1">
        <v>1075</v>
      </c>
      <c r="F1">
        <v>1</v>
      </c>
      <c r="G1">
        <v>1075</v>
      </c>
      <c r="H1">
        <v>1</v>
      </c>
      <c r="I1" t="s">
        <v>108</v>
      </c>
      <c r="J1" t="s">
        <v>4</v>
      </c>
      <c r="K1" t="s">
        <v>109</v>
      </c>
      <c r="L1">
        <v>1191</v>
      </c>
      <c r="N1">
        <v>1013</v>
      </c>
      <c r="O1" t="s">
        <v>110</v>
      </c>
      <c r="P1" t="s">
        <v>110</v>
      </c>
      <c r="Q1">
        <v>1</v>
      </c>
      <c r="X1">
        <v>28.8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1</v>
      </c>
      <c r="AF1" t="s">
        <v>4</v>
      </c>
      <c r="AG1">
        <v>28.8</v>
      </c>
      <c r="AH1">
        <v>2</v>
      </c>
      <c r="AI1">
        <v>70315960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ROW(Source!A28)</f>
        <v>28</v>
      </c>
      <c r="B2">
        <v>70315961</v>
      </c>
      <c r="C2">
        <v>70315943</v>
      </c>
      <c r="D2">
        <v>69364211</v>
      </c>
      <c r="E2">
        <v>1</v>
      </c>
      <c r="F2">
        <v>1</v>
      </c>
      <c r="G2">
        <v>1075</v>
      </c>
      <c r="H2">
        <v>2</v>
      </c>
      <c r="I2" t="s">
        <v>111</v>
      </c>
      <c r="J2" t="s">
        <v>112</v>
      </c>
      <c r="K2" t="s">
        <v>113</v>
      </c>
      <c r="L2">
        <v>1368</v>
      </c>
      <c r="N2">
        <v>1011</v>
      </c>
      <c r="O2" t="s">
        <v>114</v>
      </c>
      <c r="P2" t="s">
        <v>114</v>
      </c>
      <c r="Q2">
        <v>1</v>
      </c>
      <c r="X2">
        <v>0.17</v>
      </c>
      <c r="Y2">
        <v>0</v>
      </c>
      <c r="Z2">
        <v>7.11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4</v>
      </c>
      <c r="AG2">
        <v>0.17</v>
      </c>
      <c r="AH2">
        <v>2</v>
      </c>
      <c r="AI2">
        <v>70315961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ROW(Source!A28)</f>
        <v>28</v>
      </c>
      <c r="B3">
        <v>70315962</v>
      </c>
      <c r="C3">
        <v>70315943</v>
      </c>
      <c r="D3">
        <v>69364509</v>
      </c>
      <c r="E3">
        <v>1</v>
      </c>
      <c r="F3">
        <v>1</v>
      </c>
      <c r="G3">
        <v>1075</v>
      </c>
      <c r="H3">
        <v>2</v>
      </c>
      <c r="I3" t="s">
        <v>115</v>
      </c>
      <c r="J3" t="s">
        <v>116</v>
      </c>
      <c r="K3" t="s">
        <v>117</v>
      </c>
      <c r="L3">
        <v>1368</v>
      </c>
      <c r="N3">
        <v>1011</v>
      </c>
      <c r="O3" t="s">
        <v>114</v>
      </c>
      <c r="P3" t="s">
        <v>114</v>
      </c>
      <c r="Q3">
        <v>1</v>
      </c>
      <c r="X3">
        <v>2.93</v>
      </c>
      <c r="Y3">
        <v>0</v>
      </c>
      <c r="Z3">
        <v>83.1</v>
      </c>
      <c r="AA3">
        <v>12.62</v>
      </c>
      <c r="AB3">
        <v>0</v>
      </c>
      <c r="AC3">
        <v>0</v>
      </c>
      <c r="AD3">
        <v>1</v>
      </c>
      <c r="AE3">
        <v>0</v>
      </c>
      <c r="AF3" t="s">
        <v>4</v>
      </c>
      <c r="AG3">
        <v>2.93</v>
      </c>
      <c r="AH3">
        <v>2</v>
      </c>
      <c r="AI3">
        <v>70315962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ROW(Source!A28)</f>
        <v>28</v>
      </c>
      <c r="B4">
        <v>70315963</v>
      </c>
      <c r="C4">
        <v>70315943</v>
      </c>
      <c r="D4">
        <v>69363847</v>
      </c>
      <c r="E4">
        <v>1</v>
      </c>
      <c r="F4">
        <v>1</v>
      </c>
      <c r="G4">
        <v>1075</v>
      </c>
      <c r="H4">
        <v>2</v>
      </c>
      <c r="I4" t="s">
        <v>118</v>
      </c>
      <c r="J4" t="s">
        <v>119</v>
      </c>
      <c r="K4" t="s">
        <v>120</v>
      </c>
      <c r="L4">
        <v>1368</v>
      </c>
      <c r="N4">
        <v>1011</v>
      </c>
      <c r="O4" t="s">
        <v>114</v>
      </c>
      <c r="P4" t="s">
        <v>114</v>
      </c>
      <c r="Q4">
        <v>1</v>
      </c>
      <c r="X4">
        <v>15.5</v>
      </c>
      <c r="Y4">
        <v>0</v>
      </c>
      <c r="Z4">
        <v>31.15</v>
      </c>
      <c r="AA4">
        <v>10.220000000000001</v>
      </c>
      <c r="AB4">
        <v>0</v>
      </c>
      <c r="AC4">
        <v>0</v>
      </c>
      <c r="AD4">
        <v>1</v>
      </c>
      <c r="AE4">
        <v>0</v>
      </c>
      <c r="AF4" t="s">
        <v>4</v>
      </c>
      <c r="AG4">
        <v>15.5</v>
      </c>
      <c r="AH4">
        <v>2</v>
      </c>
      <c r="AI4">
        <v>70315963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>
      <c r="A5">
        <f>ROW(Source!A28)</f>
        <v>28</v>
      </c>
      <c r="B5">
        <v>70315964</v>
      </c>
      <c r="C5">
        <v>70315943</v>
      </c>
      <c r="D5">
        <v>69334386</v>
      </c>
      <c r="E5">
        <v>1</v>
      </c>
      <c r="F5">
        <v>1</v>
      </c>
      <c r="G5">
        <v>1075</v>
      </c>
      <c r="H5">
        <v>3</v>
      </c>
      <c r="I5" t="s">
        <v>121</v>
      </c>
      <c r="J5" t="s">
        <v>122</v>
      </c>
      <c r="K5" t="s">
        <v>123</v>
      </c>
      <c r="L5">
        <v>1346</v>
      </c>
      <c r="N5">
        <v>1009</v>
      </c>
      <c r="O5" t="s">
        <v>124</v>
      </c>
      <c r="P5" t="s">
        <v>124</v>
      </c>
      <c r="Q5">
        <v>1</v>
      </c>
      <c r="X5">
        <v>2.4</v>
      </c>
      <c r="Y5">
        <v>26.89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4</v>
      </c>
      <c r="AG5">
        <v>2.4</v>
      </c>
      <c r="AH5">
        <v>2</v>
      </c>
      <c r="AI5">
        <v>70315964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>
      <c r="A6">
        <f>ROW(Source!A28)</f>
        <v>28</v>
      </c>
      <c r="B6">
        <v>70315965</v>
      </c>
      <c r="C6">
        <v>70315943</v>
      </c>
      <c r="D6">
        <v>69334411</v>
      </c>
      <c r="E6">
        <v>1</v>
      </c>
      <c r="F6">
        <v>1</v>
      </c>
      <c r="G6">
        <v>1075</v>
      </c>
      <c r="H6">
        <v>3</v>
      </c>
      <c r="I6" t="s">
        <v>125</v>
      </c>
      <c r="J6" t="s">
        <v>126</v>
      </c>
      <c r="K6" t="s">
        <v>127</v>
      </c>
      <c r="L6">
        <v>1348</v>
      </c>
      <c r="N6">
        <v>1009</v>
      </c>
      <c r="O6" t="s">
        <v>128</v>
      </c>
      <c r="P6" t="s">
        <v>128</v>
      </c>
      <c r="Q6">
        <v>1000</v>
      </c>
      <c r="X6">
        <v>1E-3</v>
      </c>
      <c r="Y6">
        <v>7254.88</v>
      </c>
      <c r="Z6">
        <v>0</v>
      </c>
      <c r="AA6">
        <v>0</v>
      </c>
      <c r="AB6">
        <v>0</v>
      </c>
      <c r="AC6">
        <v>0</v>
      </c>
      <c r="AD6">
        <v>1</v>
      </c>
      <c r="AE6">
        <v>0</v>
      </c>
      <c r="AF6" t="s">
        <v>4</v>
      </c>
      <c r="AG6">
        <v>1E-3</v>
      </c>
      <c r="AH6">
        <v>2</v>
      </c>
      <c r="AI6">
        <v>70315965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>
      <c r="A7">
        <f>ROW(Source!A28)</f>
        <v>28</v>
      </c>
      <c r="B7">
        <v>70315966</v>
      </c>
      <c r="C7">
        <v>70315943</v>
      </c>
      <c r="D7">
        <v>69334814</v>
      </c>
      <c r="E7">
        <v>1</v>
      </c>
      <c r="F7">
        <v>1</v>
      </c>
      <c r="G7">
        <v>1075</v>
      </c>
      <c r="H7">
        <v>3</v>
      </c>
      <c r="I7" t="s">
        <v>129</v>
      </c>
      <c r="J7" t="s">
        <v>130</v>
      </c>
      <c r="K7" t="s">
        <v>131</v>
      </c>
      <c r="L7">
        <v>1346</v>
      </c>
      <c r="N7">
        <v>1009</v>
      </c>
      <c r="O7" t="s">
        <v>124</v>
      </c>
      <c r="P7" t="s">
        <v>124</v>
      </c>
      <c r="Q7">
        <v>1</v>
      </c>
      <c r="X7">
        <v>0.2</v>
      </c>
      <c r="Y7">
        <v>29.9</v>
      </c>
      <c r="Z7">
        <v>0</v>
      </c>
      <c r="AA7">
        <v>0</v>
      </c>
      <c r="AB7">
        <v>0</v>
      </c>
      <c r="AC7">
        <v>0</v>
      </c>
      <c r="AD7">
        <v>1</v>
      </c>
      <c r="AE7">
        <v>0</v>
      </c>
      <c r="AF7" t="s">
        <v>4</v>
      </c>
      <c r="AG7">
        <v>0.2</v>
      </c>
      <c r="AH7">
        <v>2</v>
      </c>
      <c r="AI7">
        <v>70315966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>
      <c r="A8">
        <f>ROW(Source!A28)</f>
        <v>28</v>
      </c>
      <c r="B8">
        <v>70315967</v>
      </c>
      <c r="C8">
        <v>70315943</v>
      </c>
      <c r="D8">
        <v>69335526</v>
      </c>
      <c r="E8">
        <v>1</v>
      </c>
      <c r="F8">
        <v>1</v>
      </c>
      <c r="G8">
        <v>1075</v>
      </c>
      <c r="H8">
        <v>3</v>
      </c>
      <c r="I8" t="s">
        <v>132</v>
      </c>
      <c r="J8" t="s">
        <v>133</v>
      </c>
      <c r="K8" t="s">
        <v>134</v>
      </c>
      <c r="L8">
        <v>1346</v>
      </c>
      <c r="N8">
        <v>1009</v>
      </c>
      <c r="O8" t="s">
        <v>124</v>
      </c>
      <c r="P8" t="s">
        <v>124</v>
      </c>
      <c r="Q8">
        <v>1</v>
      </c>
      <c r="X8">
        <v>0.3</v>
      </c>
      <c r="Y8">
        <v>21.04</v>
      </c>
      <c r="Z8">
        <v>0</v>
      </c>
      <c r="AA8">
        <v>0</v>
      </c>
      <c r="AB8">
        <v>0</v>
      </c>
      <c r="AC8">
        <v>0</v>
      </c>
      <c r="AD8">
        <v>1</v>
      </c>
      <c r="AE8">
        <v>0</v>
      </c>
      <c r="AF8" t="s">
        <v>4</v>
      </c>
      <c r="AG8">
        <v>0.3</v>
      </c>
      <c r="AH8">
        <v>2</v>
      </c>
      <c r="AI8">
        <v>70315967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>
      <c r="A9">
        <f>ROW(Source!A28)</f>
        <v>28</v>
      </c>
      <c r="B9">
        <v>70315968</v>
      </c>
      <c r="C9">
        <v>70315943</v>
      </c>
      <c r="D9">
        <v>69340457</v>
      </c>
      <c r="E9">
        <v>1</v>
      </c>
      <c r="F9">
        <v>1</v>
      </c>
      <c r="G9">
        <v>1075</v>
      </c>
      <c r="H9">
        <v>3</v>
      </c>
      <c r="I9" t="s">
        <v>135</v>
      </c>
      <c r="J9" t="s">
        <v>136</v>
      </c>
      <c r="K9" t="s">
        <v>137</v>
      </c>
      <c r="L9">
        <v>1302</v>
      </c>
      <c r="N9">
        <v>1003</v>
      </c>
      <c r="O9" t="s">
        <v>138</v>
      </c>
      <c r="P9" t="s">
        <v>138</v>
      </c>
      <c r="Q9">
        <v>10</v>
      </c>
      <c r="X9">
        <v>0.03</v>
      </c>
      <c r="Y9">
        <v>46.16</v>
      </c>
      <c r="Z9">
        <v>0</v>
      </c>
      <c r="AA9">
        <v>0</v>
      </c>
      <c r="AB9">
        <v>0</v>
      </c>
      <c r="AC9">
        <v>0</v>
      </c>
      <c r="AD9">
        <v>1</v>
      </c>
      <c r="AE9">
        <v>0</v>
      </c>
      <c r="AF9" t="s">
        <v>4</v>
      </c>
      <c r="AG9">
        <v>0.03</v>
      </c>
      <c r="AH9">
        <v>2</v>
      </c>
      <c r="AI9">
        <v>70315968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>
      <c r="A10">
        <f>ROW(Source!A28)</f>
        <v>28</v>
      </c>
      <c r="B10">
        <v>70315969</v>
      </c>
      <c r="C10">
        <v>70315943</v>
      </c>
      <c r="D10">
        <v>69351117</v>
      </c>
      <c r="E10">
        <v>1</v>
      </c>
      <c r="F10">
        <v>1</v>
      </c>
      <c r="G10">
        <v>1075</v>
      </c>
      <c r="H10">
        <v>3</v>
      </c>
      <c r="I10" t="s">
        <v>139</v>
      </c>
      <c r="J10" t="s">
        <v>140</v>
      </c>
      <c r="K10" t="s">
        <v>141</v>
      </c>
      <c r="L10">
        <v>1301</v>
      </c>
      <c r="N10">
        <v>1003</v>
      </c>
      <c r="O10" t="s">
        <v>142</v>
      </c>
      <c r="P10" t="s">
        <v>142</v>
      </c>
      <c r="Q10">
        <v>1</v>
      </c>
      <c r="X10">
        <v>2.5</v>
      </c>
      <c r="Y10">
        <v>0.7</v>
      </c>
      <c r="Z10">
        <v>0</v>
      </c>
      <c r="AA10">
        <v>0</v>
      </c>
      <c r="AB10">
        <v>0</v>
      </c>
      <c r="AC10">
        <v>0</v>
      </c>
      <c r="AD10">
        <v>1</v>
      </c>
      <c r="AE10">
        <v>0</v>
      </c>
      <c r="AF10" t="s">
        <v>4</v>
      </c>
      <c r="AG10">
        <v>2.5</v>
      </c>
      <c r="AH10">
        <v>2</v>
      </c>
      <c r="AI10">
        <v>70315969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>
      <c r="A11">
        <f>ROW(Source!A28)</f>
        <v>28</v>
      </c>
      <c r="B11">
        <v>70315970</v>
      </c>
      <c r="C11">
        <v>70315943</v>
      </c>
      <c r="D11">
        <v>69279380</v>
      </c>
      <c r="E11">
        <v>1075</v>
      </c>
      <c r="F11">
        <v>1</v>
      </c>
      <c r="G11">
        <v>1075</v>
      </c>
      <c r="H11">
        <v>3</v>
      </c>
      <c r="I11" t="s">
        <v>143</v>
      </c>
      <c r="J11" t="s">
        <v>4</v>
      </c>
      <c r="K11" t="s">
        <v>144</v>
      </c>
      <c r="L11">
        <v>1346</v>
      </c>
      <c r="N11">
        <v>1009</v>
      </c>
      <c r="O11" t="s">
        <v>124</v>
      </c>
      <c r="P11" t="s">
        <v>124</v>
      </c>
      <c r="Q11">
        <v>1</v>
      </c>
      <c r="X11">
        <v>1.23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 t="s">
        <v>4</v>
      </c>
      <c r="AG11">
        <v>1.23</v>
      </c>
      <c r="AH11">
        <v>3</v>
      </c>
      <c r="AI11">
        <v>-1</v>
      </c>
      <c r="AJ11" t="s">
        <v>4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>
      <c r="A12">
        <f>ROW(Source!A28)</f>
        <v>28</v>
      </c>
      <c r="B12">
        <v>70315971</v>
      </c>
      <c r="C12">
        <v>70315943</v>
      </c>
      <c r="D12">
        <v>69293268</v>
      </c>
      <c r="E12">
        <v>1075</v>
      </c>
      <c r="F12">
        <v>1</v>
      </c>
      <c r="G12">
        <v>1075</v>
      </c>
      <c r="H12">
        <v>3</v>
      </c>
      <c r="I12" t="s">
        <v>145</v>
      </c>
      <c r="J12" t="s">
        <v>4</v>
      </c>
      <c r="K12" t="s">
        <v>146</v>
      </c>
      <c r="L12">
        <v>1354</v>
      </c>
      <c r="N12">
        <v>1010</v>
      </c>
      <c r="O12" t="s">
        <v>85</v>
      </c>
      <c r="P12" t="s">
        <v>85</v>
      </c>
      <c r="Q12">
        <v>1</v>
      </c>
      <c r="X12">
        <v>1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 t="s">
        <v>4</v>
      </c>
      <c r="AG12">
        <v>1</v>
      </c>
      <c r="AH12">
        <v>3</v>
      </c>
      <c r="AI12">
        <v>-1</v>
      </c>
      <c r="AJ12" t="s">
        <v>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>
      <c r="A13">
        <f>ROW(Source!A29)</f>
        <v>29</v>
      </c>
      <c r="B13">
        <v>70315960</v>
      </c>
      <c r="C13">
        <v>70315943</v>
      </c>
      <c r="D13">
        <v>69275358</v>
      </c>
      <c r="E13">
        <v>1075</v>
      </c>
      <c r="F13">
        <v>1</v>
      </c>
      <c r="G13">
        <v>1075</v>
      </c>
      <c r="H13">
        <v>1</v>
      </c>
      <c r="I13" t="s">
        <v>108</v>
      </c>
      <c r="J13" t="s">
        <v>4</v>
      </c>
      <c r="K13" t="s">
        <v>109</v>
      </c>
      <c r="L13">
        <v>1191</v>
      </c>
      <c r="N13">
        <v>1013</v>
      </c>
      <c r="O13" t="s">
        <v>110</v>
      </c>
      <c r="P13" t="s">
        <v>110</v>
      </c>
      <c r="Q13">
        <v>1</v>
      </c>
      <c r="X13">
        <v>28.8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1</v>
      </c>
      <c r="AF13" t="s">
        <v>4</v>
      </c>
      <c r="AG13">
        <v>28.8</v>
      </c>
      <c r="AH13">
        <v>2</v>
      </c>
      <c r="AI13">
        <v>70315960</v>
      </c>
      <c r="AJ13">
        <v>11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>
      <c r="A14">
        <f>ROW(Source!A29)</f>
        <v>29</v>
      </c>
      <c r="B14">
        <v>70315961</v>
      </c>
      <c r="C14">
        <v>70315943</v>
      </c>
      <c r="D14">
        <v>69364211</v>
      </c>
      <c r="E14">
        <v>1</v>
      </c>
      <c r="F14">
        <v>1</v>
      </c>
      <c r="G14">
        <v>1075</v>
      </c>
      <c r="H14">
        <v>2</v>
      </c>
      <c r="I14" t="s">
        <v>111</v>
      </c>
      <c r="J14" t="s">
        <v>112</v>
      </c>
      <c r="K14" t="s">
        <v>113</v>
      </c>
      <c r="L14">
        <v>1368</v>
      </c>
      <c r="N14">
        <v>1011</v>
      </c>
      <c r="O14" t="s">
        <v>114</v>
      </c>
      <c r="P14" t="s">
        <v>114</v>
      </c>
      <c r="Q14">
        <v>1</v>
      </c>
      <c r="X14">
        <v>0.17</v>
      </c>
      <c r="Y14">
        <v>0</v>
      </c>
      <c r="Z14">
        <v>7.11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4</v>
      </c>
      <c r="AG14">
        <v>0.17</v>
      </c>
      <c r="AH14">
        <v>2</v>
      </c>
      <c r="AI14">
        <v>70315961</v>
      </c>
      <c r="AJ14">
        <v>12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>
      <c r="A15">
        <f>ROW(Source!A29)</f>
        <v>29</v>
      </c>
      <c r="B15">
        <v>70315962</v>
      </c>
      <c r="C15">
        <v>70315943</v>
      </c>
      <c r="D15">
        <v>69364509</v>
      </c>
      <c r="E15">
        <v>1</v>
      </c>
      <c r="F15">
        <v>1</v>
      </c>
      <c r="G15">
        <v>1075</v>
      </c>
      <c r="H15">
        <v>2</v>
      </c>
      <c r="I15" t="s">
        <v>115</v>
      </c>
      <c r="J15" t="s">
        <v>116</v>
      </c>
      <c r="K15" t="s">
        <v>117</v>
      </c>
      <c r="L15">
        <v>1368</v>
      </c>
      <c r="N15">
        <v>1011</v>
      </c>
      <c r="O15" t="s">
        <v>114</v>
      </c>
      <c r="P15" t="s">
        <v>114</v>
      </c>
      <c r="Q15">
        <v>1</v>
      </c>
      <c r="X15">
        <v>2.93</v>
      </c>
      <c r="Y15">
        <v>0</v>
      </c>
      <c r="Z15">
        <v>83.1</v>
      </c>
      <c r="AA15">
        <v>12.62</v>
      </c>
      <c r="AB15">
        <v>0</v>
      </c>
      <c r="AC15">
        <v>0</v>
      </c>
      <c r="AD15">
        <v>1</v>
      </c>
      <c r="AE15">
        <v>0</v>
      </c>
      <c r="AF15" t="s">
        <v>4</v>
      </c>
      <c r="AG15">
        <v>2.93</v>
      </c>
      <c r="AH15">
        <v>2</v>
      </c>
      <c r="AI15">
        <v>70315962</v>
      </c>
      <c r="AJ15">
        <v>13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>
      <c r="A16">
        <f>ROW(Source!A29)</f>
        <v>29</v>
      </c>
      <c r="B16">
        <v>70315963</v>
      </c>
      <c r="C16">
        <v>70315943</v>
      </c>
      <c r="D16">
        <v>69363847</v>
      </c>
      <c r="E16">
        <v>1</v>
      </c>
      <c r="F16">
        <v>1</v>
      </c>
      <c r="G16">
        <v>1075</v>
      </c>
      <c r="H16">
        <v>2</v>
      </c>
      <c r="I16" t="s">
        <v>118</v>
      </c>
      <c r="J16" t="s">
        <v>119</v>
      </c>
      <c r="K16" t="s">
        <v>120</v>
      </c>
      <c r="L16">
        <v>1368</v>
      </c>
      <c r="N16">
        <v>1011</v>
      </c>
      <c r="O16" t="s">
        <v>114</v>
      </c>
      <c r="P16" t="s">
        <v>114</v>
      </c>
      <c r="Q16">
        <v>1</v>
      </c>
      <c r="X16">
        <v>15.5</v>
      </c>
      <c r="Y16">
        <v>0</v>
      </c>
      <c r="Z16">
        <v>31.15</v>
      </c>
      <c r="AA16">
        <v>10.220000000000001</v>
      </c>
      <c r="AB16">
        <v>0</v>
      </c>
      <c r="AC16">
        <v>0</v>
      </c>
      <c r="AD16">
        <v>1</v>
      </c>
      <c r="AE16">
        <v>0</v>
      </c>
      <c r="AF16" t="s">
        <v>4</v>
      </c>
      <c r="AG16">
        <v>15.5</v>
      </c>
      <c r="AH16">
        <v>2</v>
      </c>
      <c r="AI16">
        <v>70315963</v>
      </c>
      <c r="AJ16">
        <v>14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>
      <c r="A17">
        <f>ROW(Source!A29)</f>
        <v>29</v>
      </c>
      <c r="B17">
        <v>70315964</v>
      </c>
      <c r="C17">
        <v>70315943</v>
      </c>
      <c r="D17">
        <v>69334386</v>
      </c>
      <c r="E17">
        <v>1</v>
      </c>
      <c r="F17">
        <v>1</v>
      </c>
      <c r="G17">
        <v>1075</v>
      </c>
      <c r="H17">
        <v>3</v>
      </c>
      <c r="I17" t="s">
        <v>121</v>
      </c>
      <c r="J17" t="s">
        <v>122</v>
      </c>
      <c r="K17" t="s">
        <v>123</v>
      </c>
      <c r="L17">
        <v>1346</v>
      </c>
      <c r="N17">
        <v>1009</v>
      </c>
      <c r="O17" t="s">
        <v>124</v>
      </c>
      <c r="P17" t="s">
        <v>124</v>
      </c>
      <c r="Q17">
        <v>1</v>
      </c>
      <c r="X17">
        <v>2.4</v>
      </c>
      <c r="Y17">
        <v>26.89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 t="s">
        <v>4</v>
      </c>
      <c r="AG17">
        <v>2.4</v>
      </c>
      <c r="AH17">
        <v>2</v>
      </c>
      <c r="AI17">
        <v>70315964</v>
      </c>
      <c r="AJ17">
        <v>15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>
      <c r="A18">
        <f>ROW(Source!A29)</f>
        <v>29</v>
      </c>
      <c r="B18">
        <v>70315965</v>
      </c>
      <c r="C18">
        <v>70315943</v>
      </c>
      <c r="D18">
        <v>69334411</v>
      </c>
      <c r="E18">
        <v>1</v>
      </c>
      <c r="F18">
        <v>1</v>
      </c>
      <c r="G18">
        <v>1075</v>
      </c>
      <c r="H18">
        <v>3</v>
      </c>
      <c r="I18" t="s">
        <v>125</v>
      </c>
      <c r="J18" t="s">
        <v>126</v>
      </c>
      <c r="K18" t="s">
        <v>127</v>
      </c>
      <c r="L18">
        <v>1348</v>
      </c>
      <c r="N18">
        <v>1009</v>
      </c>
      <c r="O18" t="s">
        <v>128</v>
      </c>
      <c r="P18" t="s">
        <v>128</v>
      </c>
      <c r="Q18">
        <v>1000</v>
      </c>
      <c r="X18">
        <v>1E-3</v>
      </c>
      <c r="Y18">
        <v>7254.88</v>
      </c>
      <c r="Z18">
        <v>0</v>
      </c>
      <c r="AA18">
        <v>0</v>
      </c>
      <c r="AB18">
        <v>0</v>
      </c>
      <c r="AC18">
        <v>0</v>
      </c>
      <c r="AD18">
        <v>1</v>
      </c>
      <c r="AE18">
        <v>0</v>
      </c>
      <c r="AF18" t="s">
        <v>4</v>
      </c>
      <c r="AG18">
        <v>1E-3</v>
      </c>
      <c r="AH18">
        <v>2</v>
      </c>
      <c r="AI18">
        <v>70315965</v>
      </c>
      <c r="AJ18">
        <v>16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>
      <c r="A19">
        <f>ROW(Source!A29)</f>
        <v>29</v>
      </c>
      <c r="B19">
        <v>70315966</v>
      </c>
      <c r="C19">
        <v>70315943</v>
      </c>
      <c r="D19">
        <v>69334814</v>
      </c>
      <c r="E19">
        <v>1</v>
      </c>
      <c r="F19">
        <v>1</v>
      </c>
      <c r="G19">
        <v>1075</v>
      </c>
      <c r="H19">
        <v>3</v>
      </c>
      <c r="I19" t="s">
        <v>129</v>
      </c>
      <c r="J19" t="s">
        <v>130</v>
      </c>
      <c r="K19" t="s">
        <v>131</v>
      </c>
      <c r="L19">
        <v>1346</v>
      </c>
      <c r="N19">
        <v>1009</v>
      </c>
      <c r="O19" t="s">
        <v>124</v>
      </c>
      <c r="P19" t="s">
        <v>124</v>
      </c>
      <c r="Q19">
        <v>1</v>
      </c>
      <c r="X19">
        <v>0.2</v>
      </c>
      <c r="Y19">
        <v>29.9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4</v>
      </c>
      <c r="AG19">
        <v>0.2</v>
      </c>
      <c r="AH19">
        <v>2</v>
      </c>
      <c r="AI19">
        <v>70315966</v>
      </c>
      <c r="AJ19">
        <v>17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>
      <c r="A20">
        <f>ROW(Source!A29)</f>
        <v>29</v>
      </c>
      <c r="B20">
        <v>70315967</v>
      </c>
      <c r="C20">
        <v>70315943</v>
      </c>
      <c r="D20">
        <v>69335526</v>
      </c>
      <c r="E20">
        <v>1</v>
      </c>
      <c r="F20">
        <v>1</v>
      </c>
      <c r="G20">
        <v>1075</v>
      </c>
      <c r="H20">
        <v>3</v>
      </c>
      <c r="I20" t="s">
        <v>132</v>
      </c>
      <c r="J20" t="s">
        <v>133</v>
      </c>
      <c r="K20" t="s">
        <v>134</v>
      </c>
      <c r="L20">
        <v>1346</v>
      </c>
      <c r="N20">
        <v>1009</v>
      </c>
      <c r="O20" t="s">
        <v>124</v>
      </c>
      <c r="P20" t="s">
        <v>124</v>
      </c>
      <c r="Q20">
        <v>1</v>
      </c>
      <c r="X20">
        <v>0.3</v>
      </c>
      <c r="Y20">
        <v>21.04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4</v>
      </c>
      <c r="AG20">
        <v>0.3</v>
      </c>
      <c r="AH20">
        <v>2</v>
      </c>
      <c r="AI20">
        <v>70315967</v>
      </c>
      <c r="AJ20">
        <v>18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>
      <c r="A21">
        <f>ROW(Source!A29)</f>
        <v>29</v>
      </c>
      <c r="B21">
        <v>70315968</v>
      </c>
      <c r="C21">
        <v>70315943</v>
      </c>
      <c r="D21">
        <v>69340457</v>
      </c>
      <c r="E21">
        <v>1</v>
      </c>
      <c r="F21">
        <v>1</v>
      </c>
      <c r="G21">
        <v>1075</v>
      </c>
      <c r="H21">
        <v>3</v>
      </c>
      <c r="I21" t="s">
        <v>135</v>
      </c>
      <c r="J21" t="s">
        <v>136</v>
      </c>
      <c r="K21" t="s">
        <v>137</v>
      </c>
      <c r="L21">
        <v>1302</v>
      </c>
      <c r="N21">
        <v>1003</v>
      </c>
      <c r="O21" t="s">
        <v>138</v>
      </c>
      <c r="P21" t="s">
        <v>138</v>
      </c>
      <c r="Q21">
        <v>10</v>
      </c>
      <c r="X21">
        <v>0.03</v>
      </c>
      <c r="Y21">
        <v>46.16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0</v>
      </c>
      <c r="AF21" t="s">
        <v>4</v>
      </c>
      <c r="AG21">
        <v>0.03</v>
      </c>
      <c r="AH21">
        <v>2</v>
      </c>
      <c r="AI21">
        <v>70315968</v>
      </c>
      <c r="AJ21">
        <v>19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>
      <c r="A22">
        <f>ROW(Source!A29)</f>
        <v>29</v>
      </c>
      <c r="B22">
        <v>70315969</v>
      </c>
      <c r="C22">
        <v>70315943</v>
      </c>
      <c r="D22">
        <v>69351117</v>
      </c>
      <c r="E22">
        <v>1</v>
      </c>
      <c r="F22">
        <v>1</v>
      </c>
      <c r="G22">
        <v>1075</v>
      </c>
      <c r="H22">
        <v>3</v>
      </c>
      <c r="I22" t="s">
        <v>139</v>
      </c>
      <c r="J22" t="s">
        <v>140</v>
      </c>
      <c r="K22" t="s">
        <v>141</v>
      </c>
      <c r="L22">
        <v>1301</v>
      </c>
      <c r="N22">
        <v>1003</v>
      </c>
      <c r="O22" t="s">
        <v>142</v>
      </c>
      <c r="P22" t="s">
        <v>142</v>
      </c>
      <c r="Q22">
        <v>1</v>
      </c>
      <c r="X22">
        <v>2.5</v>
      </c>
      <c r="Y22">
        <v>0.7</v>
      </c>
      <c r="Z22">
        <v>0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</v>
      </c>
      <c r="AG22">
        <v>2.5</v>
      </c>
      <c r="AH22">
        <v>2</v>
      </c>
      <c r="AI22">
        <v>70315969</v>
      </c>
      <c r="AJ22">
        <v>20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>
      <c r="A23">
        <f>ROW(Source!A29)</f>
        <v>29</v>
      </c>
      <c r="B23">
        <v>70315970</v>
      </c>
      <c r="C23">
        <v>70315943</v>
      </c>
      <c r="D23">
        <v>69279380</v>
      </c>
      <c r="E23">
        <v>1075</v>
      </c>
      <c r="F23">
        <v>1</v>
      </c>
      <c r="G23">
        <v>1075</v>
      </c>
      <c r="H23">
        <v>3</v>
      </c>
      <c r="I23" t="s">
        <v>143</v>
      </c>
      <c r="J23" t="s">
        <v>4</v>
      </c>
      <c r="K23" t="s">
        <v>144</v>
      </c>
      <c r="L23">
        <v>1346</v>
      </c>
      <c r="N23">
        <v>1009</v>
      </c>
      <c r="O23" t="s">
        <v>124</v>
      </c>
      <c r="P23" t="s">
        <v>124</v>
      </c>
      <c r="Q23">
        <v>1</v>
      </c>
      <c r="X23">
        <v>1.23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 t="s">
        <v>4</v>
      </c>
      <c r="AG23">
        <v>1.23</v>
      </c>
      <c r="AH23">
        <v>3</v>
      </c>
      <c r="AI23">
        <v>-1</v>
      </c>
      <c r="AJ23" t="s">
        <v>4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>
      <c r="A24">
        <f>ROW(Source!A29)</f>
        <v>29</v>
      </c>
      <c r="B24">
        <v>70315971</v>
      </c>
      <c r="C24">
        <v>70315943</v>
      </c>
      <c r="D24">
        <v>69293268</v>
      </c>
      <c r="E24">
        <v>1075</v>
      </c>
      <c r="F24">
        <v>1</v>
      </c>
      <c r="G24">
        <v>1075</v>
      </c>
      <c r="H24">
        <v>3</v>
      </c>
      <c r="I24" t="s">
        <v>145</v>
      </c>
      <c r="J24" t="s">
        <v>4</v>
      </c>
      <c r="K24" t="s">
        <v>146</v>
      </c>
      <c r="L24">
        <v>1354</v>
      </c>
      <c r="N24">
        <v>1010</v>
      </c>
      <c r="O24" t="s">
        <v>85</v>
      </c>
      <c r="P24" t="s">
        <v>85</v>
      </c>
      <c r="Q24">
        <v>1</v>
      </c>
      <c r="X24">
        <v>1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 t="s">
        <v>4</v>
      </c>
      <c r="AG24">
        <v>1</v>
      </c>
      <c r="AH24">
        <v>3</v>
      </c>
      <c r="AI24">
        <v>-1</v>
      </c>
      <c r="AJ24" t="s">
        <v>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09375" defaultRowHeight="12.7"/>
  <cols>
    <col min="1" max="256" width="9.10937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09375" defaultRowHeight="12.7"/>
  <cols>
    <col min="1" max="256" width="9.10937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02-01-04  Реконструкция ТП 27616 _24.04.25._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Trikova</cp:lastModifiedBy>
  <dcterms:created xsi:type="dcterms:W3CDTF">2025-04-25T10:45:18Z</dcterms:created>
  <dcterms:modified xsi:type="dcterms:W3CDTF">2025-04-25T10:46:12Z</dcterms:modified>
</cp:coreProperties>
</file>