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135"/>
  </bookViews>
  <sheets>
    <sheet name="Смета по ТСН-2001" sheetId="5" r:id="rId1"/>
    <sheet name="Source" sheetId="1" r:id="rId2"/>
    <sheet name="SourceObSm" sheetId="2" r:id="rId3"/>
    <sheet name="SmtRes" sheetId="3" r:id="rId4"/>
    <sheet name="EtalonRes" sheetId="4" r:id="rId5"/>
  </sheets>
  <definedNames>
    <definedName name="_xlnm.Print_Titles" localSheetId="0">'Смета по ТСН-2001'!$19:$19</definedName>
    <definedName name="_xlnm.Print_Area" localSheetId="0">'Смета по ТСН-2001'!$A$1:$K$239</definedName>
  </definedNames>
  <calcPr calcId="152511"/>
</workbook>
</file>

<file path=xl/calcChain.xml><?xml version="1.0" encoding="utf-8"?>
<calcChain xmlns="http://schemas.openxmlformats.org/spreadsheetml/2006/main">
  <c r="H238" i="5" l="1"/>
  <c r="H235" i="5"/>
  <c r="C238" i="5"/>
  <c r="C235" i="5"/>
  <c r="J16" i="5"/>
  <c r="I16" i="5"/>
  <c r="J232" i="5"/>
  <c r="C232" i="5"/>
  <c r="J231" i="5"/>
  <c r="C231" i="5"/>
  <c r="J230" i="5"/>
  <c r="J229" i="5"/>
  <c r="C229" i="5"/>
  <c r="J228" i="5"/>
  <c r="C228" i="5"/>
  <c r="J227" i="5"/>
  <c r="C227" i="5"/>
  <c r="I226" i="5"/>
  <c r="J226" i="5"/>
  <c r="I225" i="5"/>
  <c r="J225" i="5"/>
  <c r="A224" i="5"/>
  <c r="I222" i="5"/>
  <c r="J222" i="5"/>
  <c r="I221" i="5"/>
  <c r="J221" i="5"/>
  <c r="A220" i="5"/>
  <c r="Z218" i="5"/>
  <c r="Y218" i="5"/>
  <c r="X218" i="5"/>
  <c r="K217" i="5"/>
  <c r="P218" i="5" s="1"/>
  <c r="J217" i="5"/>
  <c r="I217" i="5"/>
  <c r="O218" i="5" s="1"/>
  <c r="H217" i="5"/>
  <c r="G217" i="5"/>
  <c r="F217" i="5"/>
  <c r="V216" i="5"/>
  <c r="T216" i="5"/>
  <c r="R216" i="5"/>
  <c r="U216" i="5"/>
  <c r="S216" i="5"/>
  <c r="Q216" i="5"/>
  <c r="E216" i="5"/>
  <c r="D216" i="5"/>
  <c r="B216" i="5"/>
  <c r="A216" i="5"/>
  <c r="Z215" i="5"/>
  <c r="Y215" i="5"/>
  <c r="X215" i="5"/>
  <c r="K214" i="5"/>
  <c r="P215" i="5" s="1"/>
  <c r="J214" i="5"/>
  <c r="I214" i="5"/>
  <c r="O215" i="5" s="1"/>
  <c r="H214" i="5"/>
  <c r="G214" i="5"/>
  <c r="F214" i="5"/>
  <c r="V213" i="5"/>
  <c r="T213" i="5"/>
  <c r="R213" i="5"/>
  <c r="U213" i="5"/>
  <c r="S213" i="5"/>
  <c r="Q213" i="5"/>
  <c r="E213" i="5"/>
  <c r="D213" i="5"/>
  <c r="B213" i="5"/>
  <c r="A213" i="5"/>
  <c r="A212" i="5"/>
  <c r="I210" i="5"/>
  <c r="J210" i="5"/>
  <c r="I209" i="5"/>
  <c r="J209" i="5"/>
  <c r="A208" i="5"/>
  <c r="AA206" i="5"/>
  <c r="Z206" i="5"/>
  <c r="Y206" i="5"/>
  <c r="K205" i="5"/>
  <c r="P206" i="5" s="1"/>
  <c r="J205" i="5"/>
  <c r="I205" i="5"/>
  <c r="X206" i="5" s="1"/>
  <c r="H205" i="5"/>
  <c r="G205" i="5"/>
  <c r="F205" i="5"/>
  <c r="V205" i="5"/>
  <c r="T205" i="5"/>
  <c r="R205" i="5"/>
  <c r="U205" i="5"/>
  <c r="S205" i="5"/>
  <c r="Q205" i="5"/>
  <c r="E205" i="5"/>
  <c r="D205" i="5"/>
  <c r="B205" i="5"/>
  <c r="A205" i="5"/>
  <c r="AA204" i="5"/>
  <c r="Z204" i="5"/>
  <c r="X204" i="5"/>
  <c r="I203" i="5"/>
  <c r="H203" i="5"/>
  <c r="G203" i="5"/>
  <c r="E203" i="5"/>
  <c r="J202" i="5"/>
  <c r="E202" i="5"/>
  <c r="J201" i="5"/>
  <c r="I201" i="5"/>
  <c r="E201" i="5"/>
  <c r="K200" i="5"/>
  <c r="J200" i="5"/>
  <c r="I200" i="5"/>
  <c r="H200" i="5"/>
  <c r="G200" i="5"/>
  <c r="F200" i="5"/>
  <c r="K199" i="5"/>
  <c r="J199" i="5"/>
  <c r="I199" i="5"/>
  <c r="H199" i="5"/>
  <c r="G199" i="5"/>
  <c r="F199" i="5"/>
  <c r="V198" i="5"/>
  <c r="T198" i="5"/>
  <c r="K202" i="5" s="1"/>
  <c r="R198" i="5"/>
  <c r="K201" i="5" s="1"/>
  <c r="U198" i="5"/>
  <c r="S198" i="5"/>
  <c r="I202" i="5" s="1"/>
  <c r="Q198" i="5"/>
  <c r="E198" i="5"/>
  <c r="D198" i="5"/>
  <c r="B198" i="5"/>
  <c r="A198" i="5"/>
  <c r="A197" i="5"/>
  <c r="I195" i="5"/>
  <c r="J195" i="5"/>
  <c r="I194" i="5"/>
  <c r="J194" i="5"/>
  <c r="A193" i="5"/>
  <c r="AA191" i="5"/>
  <c r="Z191" i="5"/>
  <c r="Y191" i="5"/>
  <c r="I190" i="5"/>
  <c r="H190" i="5"/>
  <c r="G190" i="5"/>
  <c r="E190" i="5"/>
  <c r="J189" i="5"/>
  <c r="E189" i="5"/>
  <c r="J188" i="5"/>
  <c r="E188" i="5"/>
  <c r="J187" i="5"/>
  <c r="E187" i="5"/>
  <c r="K186" i="5"/>
  <c r="J186" i="5"/>
  <c r="W186" i="5"/>
  <c r="I186" i="5"/>
  <c r="H186" i="5"/>
  <c r="G186" i="5"/>
  <c r="F186" i="5"/>
  <c r="K185" i="5"/>
  <c r="J185" i="5"/>
  <c r="I185" i="5"/>
  <c r="H185" i="5"/>
  <c r="G185" i="5"/>
  <c r="F185" i="5"/>
  <c r="K184" i="5"/>
  <c r="J184" i="5"/>
  <c r="I184" i="5"/>
  <c r="W184" i="5" s="1"/>
  <c r="H184" i="5"/>
  <c r="G184" i="5"/>
  <c r="F184" i="5"/>
  <c r="V183" i="5"/>
  <c r="K189" i="5" s="1"/>
  <c r="T183" i="5"/>
  <c r="K188" i="5" s="1"/>
  <c r="R183" i="5"/>
  <c r="K187" i="5" s="1"/>
  <c r="U183" i="5"/>
  <c r="I189" i="5" s="1"/>
  <c r="S183" i="5"/>
  <c r="I188" i="5" s="1"/>
  <c r="Q183" i="5"/>
  <c r="I187" i="5" s="1"/>
  <c r="E183" i="5"/>
  <c r="D183" i="5"/>
  <c r="B183" i="5"/>
  <c r="A183" i="5"/>
  <c r="AA182" i="5"/>
  <c r="Z182" i="5"/>
  <c r="Y182" i="5"/>
  <c r="J181" i="5"/>
  <c r="E181" i="5"/>
  <c r="K180" i="5"/>
  <c r="J180" i="5"/>
  <c r="I180" i="5"/>
  <c r="W180" i="5" s="1"/>
  <c r="H180" i="5"/>
  <c r="G180" i="5"/>
  <c r="F180" i="5"/>
  <c r="K179" i="5"/>
  <c r="J179" i="5"/>
  <c r="I179" i="5"/>
  <c r="H179" i="5"/>
  <c r="G179" i="5"/>
  <c r="F179" i="5"/>
  <c r="V178" i="5"/>
  <c r="K181" i="5" s="1"/>
  <c r="T178" i="5"/>
  <c r="R178" i="5"/>
  <c r="U178" i="5"/>
  <c r="I181" i="5" s="1"/>
  <c r="S178" i="5"/>
  <c r="Q178" i="5"/>
  <c r="E178" i="5"/>
  <c r="D178" i="5"/>
  <c r="B178" i="5"/>
  <c r="A178" i="5"/>
  <c r="AA177" i="5"/>
  <c r="Z177" i="5"/>
  <c r="Y177" i="5"/>
  <c r="I176" i="5"/>
  <c r="H176" i="5"/>
  <c r="G176" i="5"/>
  <c r="E176" i="5"/>
  <c r="J175" i="5"/>
  <c r="E175" i="5"/>
  <c r="J174" i="5"/>
  <c r="E174" i="5"/>
  <c r="J173" i="5"/>
  <c r="E173" i="5"/>
  <c r="K172" i="5"/>
  <c r="J172" i="5"/>
  <c r="H172" i="5"/>
  <c r="AA172" i="5"/>
  <c r="Z172" i="5"/>
  <c r="Y172" i="5"/>
  <c r="I172" i="5"/>
  <c r="X172" i="5" s="1"/>
  <c r="F172" i="5"/>
  <c r="V172" i="5"/>
  <c r="T172" i="5"/>
  <c r="R172" i="5"/>
  <c r="U172" i="5"/>
  <c r="S172" i="5"/>
  <c r="Q172" i="5"/>
  <c r="E172" i="5"/>
  <c r="D172" i="5"/>
  <c r="B172" i="5"/>
  <c r="A172" i="5"/>
  <c r="K171" i="5"/>
  <c r="J171" i="5"/>
  <c r="H171" i="5"/>
  <c r="AA171" i="5"/>
  <c r="Z171" i="5"/>
  <c r="Y171" i="5"/>
  <c r="I171" i="5"/>
  <c r="X171" i="5" s="1"/>
  <c r="F171" i="5"/>
  <c r="V171" i="5"/>
  <c r="T171" i="5"/>
  <c r="R171" i="5"/>
  <c r="U171" i="5"/>
  <c r="S171" i="5"/>
  <c r="Q171" i="5"/>
  <c r="E171" i="5"/>
  <c r="D171" i="5"/>
  <c r="B171" i="5"/>
  <c r="A171" i="5"/>
  <c r="K170" i="5"/>
  <c r="J170" i="5"/>
  <c r="H170" i="5"/>
  <c r="AA170" i="5"/>
  <c r="Z170" i="5"/>
  <c r="Y170" i="5"/>
  <c r="I170" i="5"/>
  <c r="X170" i="5" s="1"/>
  <c r="F170" i="5"/>
  <c r="V170" i="5"/>
  <c r="T170" i="5"/>
  <c r="R170" i="5"/>
  <c r="U170" i="5"/>
  <c r="S170" i="5"/>
  <c r="Q170" i="5"/>
  <c r="E170" i="5"/>
  <c r="D170" i="5"/>
  <c r="B170" i="5"/>
  <c r="A170" i="5"/>
  <c r="K169" i="5"/>
  <c r="J169" i="5"/>
  <c r="I169" i="5"/>
  <c r="H169" i="5"/>
  <c r="G169" i="5"/>
  <c r="F169" i="5"/>
  <c r="K168" i="5"/>
  <c r="J168" i="5"/>
  <c r="I168" i="5"/>
  <c r="W168" i="5" s="1"/>
  <c r="H168" i="5"/>
  <c r="G168" i="5"/>
  <c r="F168" i="5"/>
  <c r="K167" i="5"/>
  <c r="J167" i="5"/>
  <c r="I167" i="5"/>
  <c r="H167" i="5"/>
  <c r="G167" i="5"/>
  <c r="F167" i="5"/>
  <c r="K166" i="5"/>
  <c r="J166" i="5"/>
  <c r="I166" i="5"/>
  <c r="W166" i="5" s="1"/>
  <c r="H166" i="5"/>
  <c r="G166" i="5"/>
  <c r="F166" i="5"/>
  <c r="V165" i="5"/>
  <c r="T165" i="5"/>
  <c r="R165" i="5"/>
  <c r="U165" i="5"/>
  <c r="S165" i="5"/>
  <c r="Q165" i="5"/>
  <c r="E165" i="5"/>
  <c r="D165" i="5"/>
  <c r="B165" i="5"/>
  <c r="A165" i="5"/>
  <c r="AA164" i="5"/>
  <c r="Z164" i="5"/>
  <c r="Y164" i="5"/>
  <c r="I163" i="5"/>
  <c r="H163" i="5"/>
  <c r="G163" i="5"/>
  <c r="E163" i="5"/>
  <c r="J162" i="5"/>
  <c r="E162" i="5"/>
  <c r="J161" i="5"/>
  <c r="E161" i="5"/>
  <c r="J160" i="5"/>
  <c r="E160" i="5"/>
  <c r="K159" i="5"/>
  <c r="J159" i="5"/>
  <c r="I159" i="5"/>
  <c r="W159" i="5" s="1"/>
  <c r="H159" i="5"/>
  <c r="G159" i="5"/>
  <c r="F159" i="5"/>
  <c r="K158" i="5"/>
  <c r="J158" i="5"/>
  <c r="I158" i="5"/>
  <c r="H158" i="5"/>
  <c r="G158" i="5"/>
  <c r="F158" i="5"/>
  <c r="K157" i="5"/>
  <c r="J157" i="5"/>
  <c r="I157" i="5"/>
  <c r="H157" i="5"/>
  <c r="G157" i="5"/>
  <c r="F157" i="5"/>
  <c r="V156" i="5"/>
  <c r="K162" i="5" s="1"/>
  <c r="T156" i="5"/>
  <c r="K161" i="5" s="1"/>
  <c r="R156" i="5"/>
  <c r="K160" i="5" s="1"/>
  <c r="U156" i="5"/>
  <c r="I162" i="5" s="1"/>
  <c r="S156" i="5"/>
  <c r="I161" i="5" s="1"/>
  <c r="Q156" i="5"/>
  <c r="I160" i="5" s="1"/>
  <c r="E156" i="5"/>
  <c r="D156" i="5"/>
  <c r="B156" i="5"/>
  <c r="A156" i="5"/>
  <c r="C155" i="5"/>
  <c r="AA154" i="5"/>
  <c r="Z154" i="5"/>
  <c r="Y154" i="5"/>
  <c r="I153" i="5"/>
  <c r="H153" i="5"/>
  <c r="G153" i="5"/>
  <c r="E153" i="5"/>
  <c r="J152" i="5"/>
  <c r="E152" i="5"/>
  <c r="J151" i="5"/>
  <c r="E151" i="5"/>
  <c r="J150" i="5"/>
  <c r="E150" i="5"/>
  <c r="K149" i="5"/>
  <c r="J149" i="5"/>
  <c r="I149" i="5"/>
  <c r="W149" i="5" s="1"/>
  <c r="H149" i="5"/>
  <c r="G149" i="5"/>
  <c r="F149" i="5"/>
  <c r="K148" i="5"/>
  <c r="J148" i="5"/>
  <c r="I148" i="5"/>
  <c r="H148" i="5"/>
  <c r="G148" i="5"/>
  <c r="F148" i="5"/>
  <c r="K147" i="5"/>
  <c r="J147" i="5"/>
  <c r="I147" i="5"/>
  <c r="H147" i="5"/>
  <c r="G147" i="5"/>
  <c r="F147" i="5"/>
  <c r="V146" i="5"/>
  <c r="K152" i="5" s="1"/>
  <c r="T146" i="5"/>
  <c r="K151" i="5" s="1"/>
  <c r="R146" i="5"/>
  <c r="K150" i="5" s="1"/>
  <c r="U146" i="5"/>
  <c r="I152" i="5" s="1"/>
  <c r="S146" i="5"/>
  <c r="I151" i="5" s="1"/>
  <c r="Q146" i="5"/>
  <c r="I150" i="5" s="1"/>
  <c r="E146" i="5"/>
  <c r="D146" i="5"/>
  <c r="B146" i="5"/>
  <c r="A146" i="5"/>
  <c r="AA145" i="5"/>
  <c r="Z145" i="5"/>
  <c r="Y145" i="5"/>
  <c r="J144" i="5"/>
  <c r="E144" i="5"/>
  <c r="K143" i="5"/>
  <c r="J143" i="5"/>
  <c r="I143" i="5"/>
  <c r="W143" i="5" s="1"/>
  <c r="H143" i="5"/>
  <c r="G143" i="5"/>
  <c r="F143" i="5"/>
  <c r="K142" i="5"/>
  <c r="J142" i="5"/>
  <c r="I142" i="5"/>
  <c r="H142" i="5"/>
  <c r="G142" i="5"/>
  <c r="F142" i="5"/>
  <c r="V141" i="5"/>
  <c r="K144" i="5" s="1"/>
  <c r="T141" i="5"/>
  <c r="R141" i="5"/>
  <c r="U141" i="5"/>
  <c r="I144" i="5" s="1"/>
  <c r="S141" i="5"/>
  <c r="Q141" i="5"/>
  <c r="E141" i="5"/>
  <c r="D141" i="5"/>
  <c r="B141" i="5"/>
  <c r="A141" i="5"/>
  <c r="AA140" i="5"/>
  <c r="Z140" i="5"/>
  <c r="Y140" i="5"/>
  <c r="I139" i="5"/>
  <c r="H139" i="5"/>
  <c r="G139" i="5"/>
  <c r="E139" i="5"/>
  <c r="J138" i="5"/>
  <c r="E138" i="5"/>
  <c r="J137" i="5"/>
  <c r="E137" i="5"/>
  <c r="J136" i="5"/>
  <c r="E136" i="5"/>
  <c r="K135" i="5"/>
  <c r="J135" i="5"/>
  <c r="H135" i="5"/>
  <c r="AA135" i="5"/>
  <c r="Z135" i="5"/>
  <c r="Y135" i="5"/>
  <c r="I135" i="5"/>
  <c r="X135" i="5" s="1"/>
  <c r="F135" i="5"/>
  <c r="V135" i="5"/>
  <c r="T135" i="5"/>
  <c r="R135" i="5"/>
  <c r="U135" i="5"/>
  <c r="S135" i="5"/>
  <c r="Q135" i="5"/>
  <c r="E135" i="5"/>
  <c r="D135" i="5"/>
  <c r="B135" i="5"/>
  <c r="A135" i="5"/>
  <c r="K134" i="5"/>
  <c r="J134" i="5"/>
  <c r="H134" i="5"/>
  <c r="AA134" i="5"/>
  <c r="Z134" i="5"/>
  <c r="Y134" i="5"/>
  <c r="I134" i="5"/>
  <c r="X134" i="5" s="1"/>
  <c r="F134" i="5"/>
  <c r="V134" i="5"/>
  <c r="T134" i="5"/>
  <c r="R134" i="5"/>
  <c r="U134" i="5"/>
  <c r="S134" i="5"/>
  <c r="Q134" i="5"/>
  <c r="E134" i="5"/>
  <c r="D134" i="5"/>
  <c r="B134" i="5"/>
  <c r="A134" i="5"/>
  <c r="K133" i="5"/>
  <c r="J133" i="5"/>
  <c r="H133" i="5"/>
  <c r="AA133" i="5"/>
  <c r="Z133" i="5"/>
  <c r="Y133" i="5"/>
  <c r="I133" i="5"/>
  <c r="X133" i="5" s="1"/>
  <c r="F133" i="5"/>
  <c r="V133" i="5"/>
  <c r="T133" i="5"/>
  <c r="R133" i="5"/>
  <c r="U133" i="5"/>
  <c r="S133" i="5"/>
  <c r="Q133" i="5"/>
  <c r="E133" i="5"/>
  <c r="D133" i="5"/>
  <c r="B133" i="5"/>
  <c r="A133" i="5"/>
  <c r="K132" i="5"/>
  <c r="J132" i="5"/>
  <c r="I132" i="5"/>
  <c r="H132" i="5"/>
  <c r="G132" i="5"/>
  <c r="F132" i="5"/>
  <c r="K131" i="5"/>
  <c r="J131" i="5"/>
  <c r="I131" i="5"/>
  <c r="W131" i="5" s="1"/>
  <c r="H131" i="5"/>
  <c r="G131" i="5"/>
  <c r="F131" i="5"/>
  <c r="K130" i="5"/>
  <c r="J130" i="5"/>
  <c r="I130" i="5"/>
  <c r="H130" i="5"/>
  <c r="G130" i="5"/>
  <c r="F130" i="5"/>
  <c r="K129" i="5"/>
  <c r="J129" i="5"/>
  <c r="I129" i="5"/>
  <c r="W129" i="5" s="1"/>
  <c r="H129" i="5"/>
  <c r="G129" i="5"/>
  <c r="F129" i="5"/>
  <c r="V128" i="5"/>
  <c r="K138" i="5" s="1"/>
  <c r="T128" i="5"/>
  <c r="R128" i="5"/>
  <c r="U128" i="5"/>
  <c r="S128" i="5"/>
  <c r="Q128" i="5"/>
  <c r="E128" i="5"/>
  <c r="D128" i="5"/>
  <c r="B128" i="5"/>
  <c r="A128" i="5"/>
  <c r="AA127" i="5"/>
  <c r="Z127" i="5"/>
  <c r="Y127" i="5"/>
  <c r="I126" i="5"/>
  <c r="H126" i="5"/>
  <c r="G126" i="5"/>
  <c r="E126" i="5"/>
  <c r="J125" i="5"/>
  <c r="E125" i="5"/>
  <c r="J124" i="5"/>
  <c r="E124" i="5"/>
  <c r="J123" i="5"/>
  <c r="E123" i="5"/>
  <c r="K122" i="5"/>
  <c r="J122" i="5"/>
  <c r="I122" i="5"/>
  <c r="W122" i="5" s="1"/>
  <c r="H122" i="5"/>
  <c r="G122" i="5"/>
  <c r="F122" i="5"/>
  <c r="K121" i="5"/>
  <c r="J121" i="5"/>
  <c r="I121" i="5"/>
  <c r="H121" i="5"/>
  <c r="G121" i="5"/>
  <c r="F121" i="5"/>
  <c r="K120" i="5"/>
  <c r="J120" i="5"/>
  <c r="I120" i="5"/>
  <c r="W120" i="5" s="1"/>
  <c r="H120" i="5"/>
  <c r="G120" i="5"/>
  <c r="F120" i="5"/>
  <c r="V119" i="5"/>
  <c r="K125" i="5" s="1"/>
  <c r="T119" i="5"/>
  <c r="K124" i="5" s="1"/>
  <c r="R119" i="5"/>
  <c r="K123" i="5" s="1"/>
  <c r="U119" i="5"/>
  <c r="I125" i="5" s="1"/>
  <c r="S119" i="5"/>
  <c r="I124" i="5" s="1"/>
  <c r="Q119" i="5"/>
  <c r="I123" i="5" s="1"/>
  <c r="E119" i="5"/>
  <c r="D119" i="5"/>
  <c r="B119" i="5"/>
  <c r="A119" i="5"/>
  <c r="C118" i="5"/>
  <c r="AA117" i="5"/>
  <c r="Z117" i="5"/>
  <c r="Y117" i="5"/>
  <c r="I116" i="5"/>
  <c r="H116" i="5"/>
  <c r="G116" i="5"/>
  <c r="E116" i="5"/>
  <c r="J115" i="5"/>
  <c r="E115" i="5"/>
  <c r="J114" i="5"/>
  <c r="E114" i="5"/>
  <c r="J113" i="5"/>
  <c r="E113" i="5"/>
  <c r="K112" i="5"/>
  <c r="J112" i="5"/>
  <c r="I112" i="5"/>
  <c r="W112" i="5" s="1"/>
  <c r="H112" i="5"/>
  <c r="G112" i="5"/>
  <c r="F112" i="5"/>
  <c r="K111" i="5"/>
  <c r="J111" i="5"/>
  <c r="I111" i="5"/>
  <c r="H111" i="5"/>
  <c r="G111" i="5"/>
  <c r="F111" i="5"/>
  <c r="K110" i="5"/>
  <c r="J110" i="5"/>
  <c r="I110" i="5"/>
  <c r="W110" i="5" s="1"/>
  <c r="H110" i="5"/>
  <c r="G110" i="5"/>
  <c r="F110" i="5"/>
  <c r="V109" i="5"/>
  <c r="K115" i="5" s="1"/>
  <c r="T109" i="5"/>
  <c r="K114" i="5" s="1"/>
  <c r="R109" i="5"/>
  <c r="K113" i="5" s="1"/>
  <c r="U109" i="5"/>
  <c r="I115" i="5" s="1"/>
  <c r="S109" i="5"/>
  <c r="I114" i="5" s="1"/>
  <c r="Q109" i="5"/>
  <c r="I113" i="5" s="1"/>
  <c r="E109" i="5"/>
  <c r="D109" i="5"/>
  <c r="B109" i="5"/>
  <c r="A109" i="5"/>
  <c r="AA108" i="5"/>
  <c r="Z108" i="5"/>
  <c r="Y108" i="5"/>
  <c r="J107" i="5"/>
  <c r="E107" i="5"/>
  <c r="K106" i="5"/>
  <c r="J106" i="5"/>
  <c r="I106" i="5"/>
  <c r="W106" i="5" s="1"/>
  <c r="H106" i="5"/>
  <c r="G106" i="5"/>
  <c r="F106" i="5"/>
  <c r="K105" i="5"/>
  <c r="J105" i="5"/>
  <c r="I105" i="5"/>
  <c r="H105" i="5"/>
  <c r="G105" i="5"/>
  <c r="F105" i="5"/>
  <c r="V104" i="5"/>
  <c r="K107" i="5" s="1"/>
  <c r="T104" i="5"/>
  <c r="R104" i="5"/>
  <c r="U104" i="5"/>
  <c r="I107" i="5" s="1"/>
  <c r="S104" i="5"/>
  <c r="Q104" i="5"/>
  <c r="E104" i="5"/>
  <c r="D104" i="5"/>
  <c r="B104" i="5"/>
  <c r="A104" i="5"/>
  <c r="AA103" i="5"/>
  <c r="Z103" i="5"/>
  <c r="Y103" i="5"/>
  <c r="I102" i="5"/>
  <c r="H102" i="5"/>
  <c r="G102" i="5"/>
  <c r="E102" i="5"/>
  <c r="J101" i="5"/>
  <c r="E101" i="5"/>
  <c r="J100" i="5"/>
  <c r="E100" i="5"/>
  <c r="J99" i="5"/>
  <c r="E99" i="5"/>
  <c r="K98" i="5"/>
  <c r="J98" i="5"/>
  <c r="H98" i="5"/>
  <c r="AA98" i="5"/>
  <c r="Z98" i="5"/>
  <c r="Y98" i="5"/>
  <c r="I98" i="5"/>
  <c r="X98" i="5" s="1"/>
  <c r="F98" i="5"/>
  <c r="V98" i="5"/>
  <c r="T98" i="5"/>
  <c r="R98" i="5"/>
  <c r="U98" i="5"/>
  <c r="S98" i="5"/>
  <c r="Q98" i="5"/>
  <c r="E98" i="5"/>
  <c r="D98" i="5"/>
  <c r="B98" i="5"/>
  <c r="A98" i="5"/>
  <c r="K97" i="5"/>
  <c r="J97" i="5"/>
  <c r="H97" i="5"/>
  <c r="AA97" i="5"/>
  <c r="Z97" i="5"/>
  <c r="Y97" i="5"/>
  <c r="I97" i="5"/>
  <c r="X97" i="5" s="1"/>
  <c r="F97" i="5"/>
  <c r="V97" i="5"/>
  <c r="T97" i="5"/>
  <c r="R97" i="5"/>
  <c r="U97" i="5"/>
  <c r="S97" i="5"/>
  <c r="Q97" i="5"/>
  <c r="E97" i="5"/>
  <c r="D97" i="5"/>
  <c r="B97" i="5"/>
  <c r="A97" i="5"/>
  <c r="K96" i="5"/>
  <c r="J96" i="5"/>
  <c r="H96" i="5"/>
  <c r="AA96" i="5"/>
  <c r="Z96" i="5"/>
  <c r="Y96" i="5"/>
  <c r="I96" i="5"/>
  <c r="X96" i="5" s="1"/>
  <c r="F96" i="5"/>
  <c r="V96" i="5"/>
  <c r="T96" i="5"/>
  <c r="R96" i="5"/>
  <c r="U96" i="5"/>
  <c r="S96" i="5"/>
  <c r="Q96" i="5"/>
  <c r="E96" i="5"/>
  <c r="D96" i="5"/>
  <c r="B96" i="5"/>
  <c r="A96" i="5"/>
  <c r="K95" i="5"/>
  <c r="J95" i="5"/>
  <c r="I95" i="5"/>
  <c r="H95" i="5"/>
  <c r="G95" i="5"/>
  <c r="F95" i="5"/>
  <c r="K94" i="5"/>
  <c r="J94" i="5"/>
  <c r="I94" i="5"/>
  <c r="W94" i="5" s="1"/>
  <c r="H94" i="5"/>
  <c r="G94" i="5"/>
  <c r="F94" i="5"/>
  <c r="K93" i="5"/>
  <c r="J93" i="5"/>
  <c r="I93" i="5"/>
  <c r="H93" i="5"/>
  <c r="G93" i="5"/>
  <c r="F93" i="5"/>
  <c r="K92" i="5"/>
  <c r="J92" i="5"/>
  <c r="I92" i="5"/>
  <c r="H92" i="5"/>
  <c r="G92" i="5"/>
  <c r="F92" i="5"/>
  <c r="V91" i="5"/>
  <c r="T91" i="5"/>
  <c r="R91" i="5"/>
  <c r="U91" i="5"/>
  <c r="S91" i="5"/>
  <c r="Q91" i="5"/>
  <c r="E91" i="5"/>
  <c r="D91" i="5"/>
  <c r="B91" i="5"/>
  <c r="A91" i="5"/>
  <c r="AA90" i="5"/>
  <c r="Z90" i="5"/>
  <c r="Y90" i="5"/>
  <c r="I89" i="5"/>
  <c r="H89" i="5"/>
  <c r="G89" i="5"/>
  <c r="E89" i="5"/>
  <c r="J88" i="5"/>
  <c r="E88" i="5"/>
  <c r="J87" i="5"/>
  <c r="E87" i="5"/>
  <c r="J86" i="5"/>
  <c r="E86" i="5"/>
  <c r="K85" i="5"/>
  <c r="J85" i="5"/>
  <c r="I85" i="5"/>
  <c r="W85" i="5" s="1"/>
  <c r="H85" i="5"/>
  <c r="G85" i="5"/>
  <c r="F85" i="5"/>
  <c r="K84" i="5"/>
  <c r="J84" i="5"/>
  <c r="I84" i="5"/>
  <c r="H84" i="5"/>
  <c r="G84" i="5"/>
  <c r="F84" i="5"/>
  <c r="K83" i="5"/>
  <c r="J83" i="5"/>
  <c r="I83" i="5"/>
  <c r="W83" i="5" s="1"/>
  <c r="H83" i="5"/>
  <c r="G83" i="5"/>
  <c r="F83" i="5"/>
  <c r="V82" i="5"/>
  <c r="K88" i="5" s="1"/>
  <c r="T82" i="5"/>
  <c r="K87" i="5" s="1"/>
  <c r="R82" i="5"/>
  <c r="K86" i="5" s="1"/>
  <c r="U82" i="5"/>
  <c r="I88" i="5" s="1"/>
  <c r="S82" i="5"/>
  <c r="I87" i="5" s="1"/>
  <c r="Q82" i="5"/>
  <c r="I86" i="5" s="1"/>
  <c r="E82" i="5"/>
  <c r="D82" i="5"/>
  <c r="B82" i="5"/>
  <c r="A82" i="5"/>
  <c r="C81" i="5"/>
  <c r="AA80" i="5"/>
  <c r="Z80" i="5"/>
  <c r="Y80" i="5"/>
  <c r="I79" i="5"/>
  <c r="H79" i="5"/>
  <c r="G79" i="5"/>
  <c r="E79" i="5"/>
  <c r="J78" i="5"/>
  <c r="E78" i="5"/>
  <c r="J77" i="5"/>
  <c r="E77" i="5"/>
  <c r="J76" i="5"/>
  <c r="E76" i="5"/>
  <c r="K75" i="5"/>
  <c r="J75" i="5"/>
  <c r="I75" i="5"/>
  <c r="W75" i="5" s="1"/>
  <c r="H75" i="5"/>
  <c r="G75" i="5"/>
  <c r="F75" i="5"/>
  <c r="K74" i="5"/>
  <c r="J74" i="5"/>
  <c r="I74" i="5"/>
  <c r="H74" i="5"/>
  <c r="G74" i="5"/>
  <c r="F74" i="5"/>
  <c r="K73" i="5"/>
  <c r="J73" i="5"/>
  <c r="I73" i="5"/>
  <c r="W73" i="5" s="1"/>
  <c r="H73" i="5"/>
  <c r="G73" i="5"/>
  <c r="F73" i="5"/>
  <c r="V72" i="5"/>
  <c r="K78" i="5" s="1"/>
  <c r="T72" i="5"/>
  <c r="K77" i="5" s="1"/>
  <c r="R72" i="5"/>
  <c r="K76" i="5" s="1"/>
  <c r="U72" i="5"/>
  <c r="I78" i="5" s="1"/>
  <c r="S72" i="5"/>
  <c r="I77" i="5" s="1"/>
  <c r="Q72" i="5"/>
  <c r="I76" i="5" s="1"/>
  <c r="E72" i="5"/>
  <c r="D72" i="5"/>
  <c r="B72" i="5"/>
  <c r="A72" i="5"/>
  <c r="AA71" i="5"/>
  <c r="Z71" i="5"/>
  <c r="Y71" i="5"/>
  <c r="J70" i="5"/>
  <c r="E70" i="5"/>
  <c r="K69" i="5"/>
  <c r="J69" i="5"/>
  <c r="I69" i="5"/>
  <c r="W69" i="5" s="1"/>
  <c r="H69" i="5"/>
  <c r="G69" i="5"/>
  <c r="F69" i="5"/>
  <c r="K68" i="5"/>
  <c r="J68" i="5"/>
  <c r="I68" i="5"/>
  <c r="H68" i="5"/>
  <c r="G68" i="5"/>
  <c r="F68" i="5"/>
  <c r="V67" i="5"/>
  <c r="K70" i="5" s="1"/>
  <c r="T67" i="5"/>
  <c r="R67" i="5"/>
  <c r="U67" i="5"/>
  <c r="I70" i="5" s="1"/>
  <c r="X71" i="5" s="1"/>
  <c r="S67" i="5"/>
  <c r="Q67" i="5"/>
  <c r="E67" i="5"/>
  <c r="D67" i="5"/>
  <c r="B67" i="5"/>
  <c r="A67" i="5"/>
  <c r="AA66" i="5"/>
  <c r="Z66" i="5"/>
  <c r="Y66" i="5"/>
  <c r="I65" i="5"/>
  <c r="H65" i="5"/>
  <c r="G65" i="5"/>
  <c r="E65" i="5"/>
  <c r="J64" i="5"/>
  <c r="E64" i="5"/>
  <c r="J63" i="5"/>
  <c r="E63" i="5"/>
  <c r="J62" i="5"/>
  <c r="E62" i="5"/>
  <c r="K61" i="5"/>
  <c r="J61" i="5"/>
  <c r="H61" i="5"/>
  <c r="AA61" i="5"/>
  <c r="Z61" i="5"/>
  <c r="Y61" i="5"/>
  <c r="I61" i="5"/>
  <c r="X61" i="5" s="1"/>
  <c r="F61" i="5"/>
  <c r="V61" i="5"/>
  <c r="T61" i="5"/>
  <c r="R61" i="5"/>
  <c r="U61" i="5"/>
  <c r="S61" i="5"/>
  <c r="Q61" i="5"/>
  <c r="E61" i="5"/>
  <c r="D61" i="5"/>
  <c r="B61" i="5"/>
  <c r="A61" i="5"/>
  <c r="K60" i="5"/>
  <c r="J60" i="5"/>
  <c r="H60" i="5"/>
  <c r="AA60" i="5"/>
  <c r="Z60" i="5"/>
  <c r="Y60" i="5"/>
  <c r="I60" i="5"/>
  <c r="X60" i="5" s="1"/>
  <c r="F60" i="5"/>
  <c r="V60" i="5"/>
  <c r="T60" i="5"/>
  <c r="R60" i="5"/>
  <c r="U60" i="5"/>
  <c r="S60" i="5"/>
  <c r="Q60" i="5"/>
  <c r="E60" i="5"/>
  <c r="D60" i="5"/>
  <c r="B60" i="5"/>
  <c r="A60" i="5"/>
  <c r="K59" i="5"/>
  <c r="J59" i="5"/>
  <c r="H59" i="5"/>
  <c r="AA59" i="5"/>
  <c r="Z59" i="5"/>
  <c r="Y59" i="5"/>
  <c r="I59" i="5"/>
  <c r="X59" i="5" s="1"/>
  <c r="F59" i="5"/>
  <c r="V59" i="5"/>
  <c r="T59" i="5"/>
  <c r="R59" i="5"/>
  <c r="U59" i="5"/>
  <c r="S59" i="5"/>
  <c r="Q59" i="5"/>
  <c r="E59" i="5"/>
  <c r="D59" i="5"/>
  <c r="B59" i="5"/>
  <c r="A59" i="5"/>
  <c r="K58" i="5"/>
  <c r="J58" i="5"/>
  <c r="I58" i="5"/>
  <c r="H58" i="5"/>
  <c r="G58" i="5"/>
  <c r="F58" i="5"/>
  <c r="K57" i="5"/>
  <c r="J57" i="5"/>
  <c r="I57" i="5"/>
  <c r="W57" i="5" s="1"/>
  <c r="H57" i="5"/>
  <c r="G57" i="5"/>
  <c r="F57" i="5"/>
  <c r="K56" i="5"/>
  <c r="J56" i="5"/>
  <c r="I56" i="5"/>
  <c r="H56" i="5"/>
  <c r="G56" i="5"/>
  <c r="F56" i="5"/>
  <c r="K55" i="5"/>
  <c r="J55" i="5"/>
  <c r="I55" i="5"/>
  <c r="W55" i="5" s="1"/>
  <c r="H55" i="5"/>
  <c r="G55" i="5"/>
  <c r="F55" i="5"/>
  <c r="V54" i="5"/>
  <c r="T54" i="5"/>
  <c r="R54" i="5"/>
  <c r="U54" i="5"/>
  <c r="S54" i="5"/>
  <c r="Q54" i="5"/>
  <c r="E54" i="5"/>
  <c r="D54" i="5"/>
  <c r="B54" i="5"/>
  <c r="A54" i="5"/>
  <c r="AA53" i="5"/>
  <c r="Z53" i="5"/>
  <c r="Y53" i="5"/>
  <c r="I52" i="5"/>
  <c r="H52" i="5"/>
  <c r="G52" i="5"/>
  <c r="E52" i="5"/>
  <c r="J51" i="5"/>
  <c r="E51" i="5"/>
  <c r="J50" i="5"/>
  <c r="E50" i="5"/>
  <c r="J49" i="5"/>
  <c r="E49" i="5"/>
  <c r="K48" i="5"/>
  <c r="J48" i="5"/>
  <c r="I48" i="5"/>
  <c r="W48" i="5" s="1"/>
  <c r="H48" i="5"/>
  <c r="G48" i="5"/>
  <c r="F48" i="5"/>
  <c r="K47" i="5"/>
  <c r="J47" i="5"/>
  <c r="I47" i="5"/>
  <c r="H47" i="5"/>
  <c r="G47" i="5"/>
  <c r="F47" i="5"/>
  <c r="K46" i="5"/>
  <c r="J46" i="5"/>
  <c r="I46" i="5"/>
  <c r="W46" i="5" s="1"/>
  <c r="H46" i="5"/>
  <c r="G46" i="5"/>
  <c r="F46" i="5"/>
  <c r="V45" i="5"/>
  <c r="K51" i="5" s="1"/>
  <c r="T45" i="5"/>
  <c r="K50" i="5" s="1"/>
  <c r="R45" i="5"/>
  <c r="K49" i="5" s="1"/>
  <c r="U45" i="5"/>
  <c r="I51" i="5" s="1"/>
  <c r="S45" i="5"/>
  <c r="I50" i="5" s="1"/>
  <c r="Q45" i="5"/>
  <c r="I49" i="5" s="1"/>
  <c r="E45" i="5"/>
  <c r="D45" i="5"/>
  <c r="B45" i="5"/>
  <c r="A45" i="5"/>
  <c r="C44" i="5"/>
  <c r="AA43" i="5"/>
  <c r="Z43" i="5"/>
  <c r="Y43" i="5"/>
  <c r="I42" i="5"/>
  <c r="H42" i="5"/>
  <c r="G42" i="5"/>
  <c r="E42" i="5"/>
  <c r="J41" i="5"/>
  <c r="E41" i="5"/>
  <c r="J40" i="5"/>
  <c r="E40" i="5"/>
  <c r="K39" i="5"/>
  <c r="J39" i="5"/>
  <c r="I39" i="5"/>
  <c r="W39" i="5" s="1"/>
  <c r="H39" i="5"/>
  <c r="G39" i="5"/>
  <c r="F39" i="5"/>
  <c r="V38" i="5"/>
  <c r="T38" i="5"/>
  <c r="K41" i="5" s="1"/>
  <c r="R38" i="5"/>
  <c r="K40" i="5" s="1"/>
  <c r="U38" i="5"/>
  <c r="S38" i="5"/>
  <c r="I41" i="5" s="1"/>
  <c r="Q38" i="5"/>
  <c r="I40" i="5" s="1"/>
  <c r="E38" i="5"/>
  <c r="D38" i="5"/>
  <c r="B38" i="5"/>
  <c r="A38" i="5"/>
  <c r="AA37" i="5"/>
  <c r="Z37" i="5"/>
  <c r="Y37" i="5"/>
  <c r="K36" i="5"/>
  <c r="P37" i="5" s="1"/>
  <c r="J36" i="5"/>
  <c r="I36" i="5"/>
  <c r="O37" i="5" s="1"/>
  <c r="H36" i="5"/>
  <c r="G36" i="5"/>
  <c r="F36" i="5"/>
  <c r="V36" i="5"/>
  <c r="T36" i="5"/>
  <c r="R36" i="5"/>
  <c r="U36" i="5"/>
  <c r="S36" i="5"/>
  <c r="Q36" i="5"/>
  <c r="E36" i="5"/>
  <c r="D36" i="5"/>
  <c r="B36" i="5"/>
  <c r="A36" i="5"/>
  <c r="AA35" i="5"/>
  <c r="Z35" i="5"/>
  <c r="Y35" i="5"/>
  <c r="I34" i="5"/>
  <c r="H34" i="5"/>
  <c r="G34" i="5"/>
  <c r="E34" i="5"/>
  <c r="J33" i="5"/>
  <c r="E33" i="5"/>
  <c r="J32" i="5"/>
  <c r="E32" i="5"/>
  <c r="K31" i="5"/>
  <c r="J31" i="5"/>
  <c r="I31" i="5"/>
  <c r="W31" i="5" s="1"/>
  <c r="H31" i="5"/>
  <c r="G31" i="5"/>
  <c r="F31" i="5"/>
  <c r="V30" i="5"/>
  <c r="T30" i="5"/>
  <c r="K33" i="5" s="1"/>
  <c r="R30" i="5"/>
  <c r="K32" i="5" s="1"/>
  <c r="U30" i="5"/>
  <c r="S30" i="5"/>
  <c r="I33" i="5" s="1"/>
  <c r="Q30" i="5"/>
  <c r="I32" i="5" s="1"/>
  <c r="E30" i="5"/>
  <c r="D30" i="5"/>
  <c r="B30" i="5"/>
  <c r="A30" i="5"/>
  <c r="AA29" i="5"/>
  <c r="Z29" i="5"/>
  <c r="Y29" i="5"/>
  <c r="I28" i="5"/>
  <c r="H28" i="5"/>
  <c r="G28" i="5"/>
  <c r="E28" i="5"/>
  <c r="J27" i="5"/>
  <c r="E27" i="5"/>
  <c r="J26" i="5"/>
  <c r="E26" i="5"/>
  <c r="K25" i="5"/>
  <c r="J25" i="5"/>
  <c r="I25" i="5"/>
  <c r="W25" i="5" s="1"/>
  <c r="H25" i="5"/>
  <c r="G25" i="5"/>
  <c r="F25" i="5"/>
  <c r="V24" i="5"/>
  <c r="T24" i="5"/>
  <c r="K27" i="5" s="1"/>
  <c r="R24" i="5"/>
  <c r="K26" i="5" s="1"/>
  <c r="U24" i="5"/>
  <c r="S24" i="5"/>
  <c r="I27" i="5" s="1"/>
  <c r="Q24" i="5"/>
  <c r="I26" i="5" s="1"/>
  <c r="E24" i="5"/>
  <c r="D24" i="5"/>
  <c r="B24" i="5"/>
  <c r="A24" i="5"/>
  <c r="A23" i="5"/>
  <c r="A21" i="5"/>
  <c r="AK12" i="5"/>
  <c r="A12" i="5"/>
  <c r="A4" i="5" s="1"/>
  <c r="A10" i="5"/>
  <c r="A7" i="5"/>
  <c r="A1" i="5"/>
  <c r="P182" i="5" l="1"/>
  <c r="I175" i="5"/>
  <c r="H37" i="5"/>
  <c r="P29" i="5"/>
  <c r="I63" i="5"/>
  <c r="K175" i="5"/>
  <c r="H35" i="5"/>
  <c r="K101" i="5"/>
  <c r="J103" i="5" s="1"/>
  <c r="O182" i="5"/>
  <c r="O108" i="5"/>
  <c r="P90" i="5"/>
  <c r="I99" i="5"/>
  <c r="P108" i="5"/>
  <c r="P71" i="5"/>
  <c r="I136" i="5"/>
  <c r="H145" i="5"/>
  <c r="J206" i="5"/>
  <c r="I101" i="5"/>
  <c r="I138" i="5"/>
  <c r="J215" i="5"/>
  <c r="X37" i="5"/>
  <c r="K63" i="5"/>
  <c r="J108" i="5"/>
  <c r="H117" i="5"/>
  <c r="J218" i="5"/>
  <c r="H43" i="5"/>
  <c r="K64" i="5"/>
  <c r="O117" i="5"/>
  <c r="P145" i="5"/>
  <c r="P164" i="5"/>
  <c r="J29" i="5"/>
  <c r="K62" i="5"/>
  <c r="J80" i="5"/>
  <c r="O154" i="5"/>
  <c r="J191" i="5"/>
  <c r="I100" i="5"/>
  <c r="X103" i="5" s="1"/>
  <c r="K136" i="5"/>
  <c r="W147" i="5"/>
  <c r="I174" i="5"/>
  <c r="I173" i="5"/>
  <c r="H177" i="5" s="1"/>
  <c r="X182" i="5"/>
  <c r="I137" i="5"/>
  <c r="J37" i="5"/>
  <c r="O71" i="5"/>
  <c r="K99" i="5"/>
  <c r="K173" i="5"/>
  <c r="P53" i="5"/>
  <c r="I62" i="5"/>
  <c r="X66" i="5" s="1"/>
  <c r="P80" i="5"/>
  <c r="P117" i="5"/>
  <c r="K137" i="5"/>
  <c r="X43" i="5"/>
  <c r="I64" i="5"/>
  <c r="J90" i="5"/>
  <c r="K100" i="5"/>
  <c r="K174" i="5"/>
  <c r="J177" i="5" s="1"/>
  <c r="J182" i="5"/>
  <c r="X35" i="5"/>
  <c r="X90" i="5"/>
  <c r="P154" i="5"/>
  <c r="O204" i="5"/>
  <c r="P43" i="5"/>
  <c r="P35" i="5"/>
  <c r="J35" i="5"/>
  <c r="X164" i="5"/>
  <c r="P204" i="5"/>
  <c r="J208" i="5" s="1"/>
  <c r="Y204" i="5"/>
  <c r="P127" i="5"/>
  <c r="X53" i="5"/>
  <c r="O145" i="5"/>
  <c r="X145" i="5"/>
  <c r="O53" i="5"/>
  <c r="X80" i="5"/>
  <c r="X154" i="5"/>
  <c r="J164" i="5"/>
  <c r="X191" i="5"/>
  <c r="H220" i="5"/>
  <c r="H127" i="5"/>
  <c r="X127" i="5"/>
  <c r="X29" i="5"/>
  <c r="O29" i="5"/>
  <c r="H29" i="5"/>
  <c r="O127" i="5"/>
  <c r="X108" i="5"/>
  <c r="J154" i="5"/>
  <c r="P191" i="5"/>
  <c r="J220" i="5"/>
  <c r="O35" i="5"/>
  <c r="H90" i="5"/>
  <c r="H108" i="5"/>
  <c r="X117" i="5"/>
  <c r="W157" i="5"/>
  <c r="H191" i="5"/>
  <c r="AA215" i="5"/>
  <c r="AA218" i="5"/>
  <c r="J53" i="5"/>
  <c r="J71" i="5"/>
  <c r="H80" i="5"/>
  <c r="O90" i="5"/>
  <c r="O191" i="5"/>
  <c r="J204" i="5"/>
  <c r="J43" i="5"/>
  <c r="O80" i="5"/>
  <c r="H140" i="5"/>
  <c r="H164" i="5"/>
  <c r="H182" i="5"/>
  <c r="H53" i="5"/>
  <c r="H71" i="5"/>
  <c r="J127" i="5"/>
  <c r="J145" i="5"/>
  <c r="H154" i="5"/>
  <c r="O164" i="5"/>
  <c r="H204" i="5"/>
  <c r="H206" i="5"/>
  <c r="H215" i="5"/>
  <c r="H218" i="5"/>
  <c r="W92" i="5"/>
  <c r="J117" i="5"/>
  <c r="W199" i="5"/>
  <c r="O206" i="5"/>
  <c r="O43" i="5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1" i="3"/>
  <c r="CY1" i="3"/>
  <c r="CZ1" i="3"/>
  <c r="DB1" i="3" s="1"/>
  <c r="DA1" i="3"/>
  <c r="DC1" i="3"/>
  <c r="A2" i="3"/>
  <c r="CY2" i="3"/>
  <c r="CZ2" i="3"/>
  <c r="DA2" i="3"/>
  <c r="DB2" i="3"/>
  <c r="DC2" i="3"/>
  <c r="A3" i="3"/>
  <c r="CY3" i="3"/>
  <c r="CZ3" i="3"/>
  <c r="DA3" i="3"/>
  <c r="DB3" i="3"/>
  <c r="DC3" i="3"/>
  <c r="A4" i="3"/>
  <c r="CY4" i="3"/>
  <c r="CZ4" i="3"/>
  <c r="DB4" i="3" s="1"/>
  <c r="DA4" i="3"/>
  <c r="DC4" i="3"/>
  <c r="A5" i="3"/>
  <c r="CY5" i="3"/>
  <c r="CZ5" i="3"/>
  <c r="DA5" i="3"/>
  <c r="DB5" i="3"/>
  <c r="DC5" i="3"/>
  <c r="A6" i="3"/>
  <c r="CX6" i="3"/>
  <c r="CY6" i="3"/>
  <c r="CZ6" i="3"/>
  <c r="DB6" i="3" s="1"/>
  <c r="DA6" i="3"/>
  <c r="DC6" i="3"/>
  <c r="A7" i="3"/>
  <c r="CX7" i="3"/>
  <c r="CY7" i="3"/>
  <c r="CZ7" i="3"/>
  <c r="DB7" i="3" s="1"/>
  <c r="DA7" i="3"/>
  <c r="DC7" i="3"/>
  <c r="A8" i="3"/>
  <c r="CX8" i="3"/>
  <c r="CY8" i="3"/>
  <c r="CZ8" i="3"/>
  <c r="DB8" i="3" s="1"/>
  <c r="DA8" i="3"/>
  <c r="DC8" i="3"/>
  <c r="A9" i="3"/>
  <c r="CX9" i="3"/>
  <c r="CY9" i="3"/>
  <c r="CZ9" i="3"/>
  <c r="DB9" i="3" s="1"/>
  <c r="DA9" i="3"/>
  <c r="DC9" i="3"/>
  <c r="A10" i="3"/>
  <c r="CX10" i="3"/>
  <c r="CY10" i="3"/>
  <c r="CZ10" i="3"/>
  <c r="DA10" i="3"/>
  <c r="DB10" i="3"/>
  <c r="DC10" i="3"/>
  <c r="A11" i="3"/>
  <c r="CX11" i="3"/>
  <c r="CY11" i="3"/>
  <c r="CZ11" i="3"/>
  <c r="DA11" i="3"/>
  <c r="DB11" i="3"/>
  <c r="DC11" i="3"/>
  <c r="A12" i="3"/>
  <c r="CX12" i="3"/>
  <c r="CY12" i="3"/>
  <c r="CZ12" i="3"/>
  <c r="DB12" i="3" s="1"/>
  <c r="DA12" i="3"/>
  <c r="DC12" i="3"/>
  <c r="A13" i="3"/>
  <c r="CX13" i="3"/>
  <c r="CY13" i="3"/>
  <c r="CZ13" i="3"/>
  <c r="DB13" i="3" s="1"/>
  <c r="DA13" i="3"/>
  <c r="DC13" i="3"/>
  <c r="A14" i="3"/>
  <c r="CX14" i="3"/>
  <c r="CY14" i="3"/>
  <c r="CZ14" i="3"/>
  <c r="DA14" i="3"/>
  <c r="DB14" i="3"/>
  <c r="DC14" i="3"/>
  <c r="A15" i="3"/>
  <c r="CX15" i="3"/>
  <c r="CY15" i="3"/>
  <c r="CZ15" i="3"/>
  <c r="DA15" i="3"/>
  <c r="DB15" i="3"/>
  <c r="DC15" i="3"/>
  <c r="A16" i="3"/>
  <c r="CX16" i="3"/>
  <c r="CY16" i="3"/>
  <c r="CZ16" i="3"/>
  <c r="DB16" i="3" s="1"/>
  <c r="DA16" i="3"/>
  <c r="DC16" i="3"/>
  <c r="A17" i="3"/>
  <c r="CX17" i="3"/>
  <c r="CY17" i="3"/>
  <c r="CZ17" i="3"/>
  <c r="DB17" i="3" s="1"/>
  <c r="DA17" i="3"/>
  <c r="DC17" i="3"/>
  <c r="A18" i="3"/>
  <c r="CX18" i="3"/>
  <c r="CY18" i="3"/>
  <c r="CZ18" i="3"/>
  <c r="DA18" i="3"/>
  <c r="DB18" i="3"/>
  <c r="DC18" i="3"/>
  <c r="A19" i="3"/>
  <c r="CX19" i="3"/>
  <c r="CY19" i="3"/>
  <c r="CZ19" i="3"/>
  <c r="DA19" i="3"/>
  <c r="DB19" i="3"/>
  <c r="DC19" i="3"/>
  <c r="A20" i="3"/>
  <c r="CX20" i="3"/>
  <c r="CY20" i="3"/>
  <c r="CZ20" i="3"/>
  <c r="DB20" i="3" s="1"/>
  <c r="DA20" i="3"/>
  <c r="DC20" i="3"/>
  <c r="A21" i="3"/>
  <c r="CX21" i="3"/>
  <c r="CY21" i="3"/>
  <c r="CZ21" i="3"/>
  <c r="DA21" i="3"/>
  <c r="DB21" i="3"/>
  <c r="DC21" i="3"/>
  <c r="A22" i="3"/>
  <c r="CX22" i="3"/>
  <c r="CY22" i="3"/>
  <c r="CZ22" i="3"/>
  <c r="DA22" i="3"/>
  <c r="DB22" i="3"/>
  <c r="DC22" i="3"/>
  <c r="A23" i="3"/>
  <c r="CX23" i="3"/>
  <c r="CY23" i="3"/>
  <c r="CZ23" i="3"/>
  <c r="DA23" i="3"/>
  <c r="DB23" i="3"/>
  <c r="DC23" i="3"/>
  <c r="A24" i="3"/>
  <c r="CX24" i="3"/>
  <c r="CY24" i="3"/>
  <c r="CZ24" i="3"/>
  <c r="DB24" i="3" s="1"/>
  <c r="DA24" i="3"/>
  <c r="DC24" i="3"/>
  <c r="A25" i="3"/>
  <c r="CX25" i="3"/>
  <c r="CY25" i="3"/>
  <c r="CZ25" i="3"/>
  <c r="DB25" i="3" s="1"/>
  <c r="DA25" i="3"/>
  <c r="DC25" i="3"/>
  <c r="A26" i="3"/>
  <c r="CX26" i="3"/>
  <c r="CY26" i="3"/>
  <c r="CZ26" i="3"/>
  <c r="DA26" i="3"/>
  <c r="DB26" i="3"/>
  <c r="DC26" i="3"/>
  <c r="A27" i="3"/>
  <c r="CX27" i="3"/>
  <c r="CY27" i="3"/>
  <c r="CZ27" i="3"/>
  <c r="DA27" i="3"/>
  <c r="DB27" i="3"/>
  <c r="DC27" i="3"/>
  <c r="A28" i="3"/>
  <c r="CX28" i="3"/>
  <c r="CY28" i="3"/>
  <c r="CZ28" i="3"/>
  <c r="DB28" i="3" s="1"/>
  <c r="DA28" i="3"/>
  <c r="DC28" i="3"/>
  <c r="A29" i="3"/>
  <c r="CX29" i="3"/>
  <c r="CY29" i="3"/>
  <c r="CZ29" i="3"/>
  <c r="DA29" i="3"/>
  <c r="DB29" i="3"/>
  <c r="DC29" i="3"/>
  <c r="A30" i="3"/>
  <c r="CX30" i="3"/>
  <c r="CY30" i="3"/>
  <c r="CZ30" i="3"/>
  <c r="DA30" i="3"/>
  <c r="DB30" i="3"/>
  <c r="DC30" i="3"/>
  <c r="A31" i="3"/>
  <c r="CX31" i="3"/>
  <c r="CY31" i="3"/>
  <c r="CZ31" i="3"/>
  <c r="DA31" i="3"/>
  <c r="DB31" i="3"/>
  <c r="DC31" i="3"/>
  <c r="A32" i="3"/>
  <c r="CX32" i="3"/>
  <c r="CY32" i="3"/>
  <c r="CZ32" i="3"/>
  <c r="DB32" i="3" s="1"/>
  <c r="DA32" i="3"/>
  <c r="DC32" i="3"/>
  <c r="A33" i="3"/>
  <c r="CX33" i="3"/>
  <c r="CY33" i="3"/>
  <c r="CZ33" i="3"/>
  <c r="DB33" i="3" s="1"/>
  <c r="DA33" i="3"/>
  <c r="DC33" i="3"/>
  <c r="A34" i="3"/>
  <c r="CX34" i="3"/>
  <c r="CY34" i="3"/>
  <c r="CZ34" i="3"/>
  <c r="DA34" i="3"/>
  <c r="DB34" i="3"/>
  <c r="DC34" i="3"/>
  <c r="A35" i="3"/>
  <c r="CX35" i="3"/>
  <c r="CY35" i="3"/>
  <c r="CZ35" i="3"/>
  <c r="DA35" i="3"/>
  <c r="DB35" i="3"/>
  <c r="DC35" i="3"/>
  <c r="A36" i="3"/>
  <c r="CX36" i="3"/>
  <c r="CY36" i="3"/>
  <c r="CZ36" i="3"/>
  <c r="DB36" i="3" s="1"/>
  <c r="DA36" i="3"/>
  <c r="DC36" i="3"/>
  <c r="A37" i="3"/>
  <c r="CX37" i="3"/>
  <c r="CY37" i="3"/>
  <c r="CZ37" i="3"/>
  <c r="DA37" i="3"/>
  <c r="DB37" i="3"/>
  <c r="DC37" i="3"/>
  <c r="A38" i="3"/>
  <c r="CX38" i="3"/>
  <c r="CY38" i="3"/>
  <c r="CZ38" i="3"/>
  <c r="DA38" i="3"/>
  <c r="DB38" i="3"/>
  <c r="DC38" i="3"/>
  <c r="A39" i="3"/>
  <c r="CX39" i="3"/>
  <c r="CY39" i="3"/>
  <c r="CZ39" i="3"/>
  <c r="DA39" i="3"/>
  <c r="DB39" i="3"/>
  <c r="DC39" i="3"/>
  <c r="A40" i="3"/>
  <c r="CX40" i="3"/>
  <c r="CY40" i="3"/>
  <c r="CZ40" i="3"/>
  <c r="DB40" i="3" s="1"/>
  <c r="DA40" i="3"/>
  <c r="DC40" i="3"/>
  <c r="A41" i="3"/>
  <c r="CX41" i="3"/>
  <c r="CY41" i="3"/>
  <c r="CZ41" i="3"/>
  <c r="DB41" i="3" s="1"/>
  <c r="DA41" i="3"/>
  <c r="DC41" i="3"/>
  <c r="A42" i="3"/>
  <c r="CX42" i="3"/>
  <c r="CY42" i="3"/>
  <c r="CZ42" i="3"/>
  <c r="DA42" i="3"/>
  <c r="DB42" i="3"/>
  <c r="DC42" i="3"/>
  <c r="A43" i="3"/>
  <c r="CX43" i="3"/>
  <c r="CY43" i="3"/>
  <c r="CZ43" i="3"/>
  <c r="DA43" i="3"/>
  <c r="DB43" i="3"/>
  <c r="DC43" i="3"/>
  <c r="A44" i="3"/>
  <c r="CX44" i="3"/>
  <c r="CY44" i="3"/>
  <c r="CZ44" i="3"/>
  <c r="DB44" i="3" s="1"/>
  <c r="DA44" i="3"/>
  <c r="DC44" i="3"/>
  <c r="A45" i="3"/>
  <c r="CX45" i="3"/>
  <c r="CY45" i="3"/>
  <c r="CZ45" i="3"/>
  <c r="DA45" i="3"/>
  <c r="DB45" i="3"/>
  <c r="DC45" i="3"/>
  <c r="A46" i="3"/>
  <c r="CX46" i="3"/>
  <c r="CY46" i="3"/>
  <c r="CZ46" i="3"/>
  <c r="DA46" i="3"/>
  <c r="DB46" i="3"/>
  <c r="DC46" i="3"/>
  <c r="A47" i="3"/>
  <c r="CX47" i="3"/>
  <c r="CY47" i="3"/>
  <c r="CZ47" i="3"/>
  <c r="DA47" i="3"/>
  <c r="DB47" i="3"/>
  <c r="DC47" i="3"/>
  <c r="A48" i="3"/>
  <c r="CX48" i="3"/>
  <c r="CY48" i="3"/>
  <c r="CZ48" i="3"/>
  <c r="DB48" i="3" s="1"/>
  <c r="DA48" i="3"/>
  <c r="DC48" i="3"/>
  <c r="A49" i="3"/>
  <c r="CX49" i="3"/>
  <c r="CY49" i="3"/>
  <c r="CZ49" i="3"/>
  <c r="DB49" i="3" s="1"/>
  <c r="DA49" i="3"/>
  <c r="DC49" i="3"/>
  <c r="A50" i="3"/>
  <c r="CX50" i="3"/>
  <c r="CY50" i="3"/>
  <c r="CZ50" i="3"/>
  <c r="DA50" i="3"/>
  <c r="DB50" i="3"/>
  <c r="DC50" i="3"/>
  <c r="A51" i="3"/>
  <c r="CX51" i="3"/>
  <c r="CY51" i="3"/>
  <c r="CZ51" i="3"/>
  <c r="DA51" i="3"/>
  <c r="DB51" i="3"/>
  <c r="DC51" i="3"/>
  <c r="A52" i="3"/>
  <c r="CX52" i="3"/>
  <c r="CY52" i="3"/>
  <c r="CZ52" i="3"/>
  <c r="DB52" i="3" s="1"/>
  <c r="DA52" i="3"/>
  <c r="DC52" i="3"/>
  <c r="A53" i="3"/>
  <c r="CX53" i="3"/>
  <c r="CY53" i="3"/>
  <c r="CZ53" i="3"/>
  <c r="DA53" i="3"/>
  <c r="DB53" i="3"/>
  <c r="DC53" i="3"/>
  <c r="A54" i="3"/>
  <c r="CX54" i="3"/>
  <c r="CY54" i="3"/>
  <c r="CZ54" i="3"/>
  <c r="DA54" i="3"/>
  <c r="DB54" i="3"/>
  <c r="DC54" i="3"/>
  <c r="A55" i="3"/>
  <c r="CX55" i="3"/>
  <c r="CY55" i="3"/>
  <c r="CZ55" i="3"/>
  <c r="DA55" i="3"/>
  <c r="DB55" i="3"/>
  <c r="DC55" i="3"/>
  <c r="A56" i="3"/>
  <c r="CX56" i="3"/>
  <c r="CY56" i="3"/>
  <c r="CZ56" i="3"/>
  <c r="DB56" i="3" s="1"/>
  <c r="DA56" i="3"/>
  <c r="DC56" i="3"/>
  <c r="A57" i="3"/>
  <c r="CX57" i="3"/>
  <c r="CY57" i="3"/>
  <c r="CZ57" i="3"/>
  <c r="DB57" i="3" s="1"/>
  <c r="DA57" i="3"/>
  <c r="DC57" i="3"/>
  <c r="A58" i="3"/>
  <c r="CX58" i="3"/>
  <c r="CY58" i="3"/>
  <c r="CZ58" i="3"/>
  <c r="DA58" i="3"/>
  <c r="DB58" i="3"/>
  <c r="DC58" i="3"/>
  <c r="A59" i="3"/>
  <c r="CX59" i="3"/>
  <c r="CY59" i="3"/>
  <c r="CZ59" i="3"/>
  <c r="DA59" i="3"/>
  <c r="DB59" i="3"/>
  <c r="DC59" i="3"/>
  <c r="A60" i="3"/>
  <c r="CX60" i="3"/>
  <c r="CY60" i="3"/>
  <c r="CZ60" i="3"/>
  <c r="DB60" i="3" s="1"/>
  <c r="DA60" i="3"/>
  <c r="DC60" i="3"/>
  <c r="A61" i="3"/>
  <c r="CX61" i="3"/>
  <c r="CY61" i="3"/>
  <c r="CZ61" i="3"/>
  <c r="DA61" i="3"/>
  <c r="DB61" i="3"/>
  <c r="DC61" i="3"/>
  <c r="A62" i="3"/>
  <c r="CX62" i="3"/>
  <c r="CY62" i="3"/>
  <c r="CZ62" i="3"/>
  <c r="DA62" i="3"/>
  <c r="DB62" i="3"/>
  <c r="DC62" i="3"/>
  <c r="A63" i="3"/>
  <c r="CX63" i="3"/>
  <c r="CY63" i="3"/>
  <c r="CZ63" i="3"/>
  <c r="DA63" i="3"/>
  <c r="DB63" i="3"/>
  <c r="DC63" i="3"/>
  <c r="A64" i="3"/>
  <c r="CX64" i="3"/>
  <c r="CY64" i="3"/>
  <c r="CZ64" i="3"/>
  <c r="DB64" i="3" s="1"/>
  <c r="DA64" i="3"/>
  <c r="DC64" i="3"/>
  <c r="A65" i="3"/>
  <c r="CX65" i="3"/>
  <c r="CY65" i="3"/>
  <c r="CZ65" i="3"/>
  <c r="DB65" i="3" s="1"/>
  <c r="DA65" i="3"/>
  <c r="DC65" i="3"/>
  <c r="A66" i="3"/>
  <c r="CX66" i="3"/>
  <c r="CY66" i="3"/>
  <c r="CZ66" i="3"/>
  <c r="DA66" i="3"/>
  <c r="DB66" i="3"/>
  <c r="DC66" i="3"/>
  <c r="A67" i="3"/>
  <c r="CX67" i="3"/>
  <c r="CY67" i="3"/>
  <c r="CZ67" i="3"/>
  <c r="DA67" i="3"/>
  <c r="DB67" i="3"/>
  <c r="DC67" i="3"/>
  <c r="A68" i="3"/>
  <c r="CX68" i="3"/>
  <c r="CY68" i="3"/>
  <c r="CZ68" i="3"/>
  <c r="DB68" i="3" s="1"/>
  <c r="DA68" i="3"/>
  <c r="DC68" i="3"/>
  <c r="A69" i="3"/>
  <c r="CX69" i="3"/>
  <c r="CY69" i="3"/>
  <c r="CZ69" i="3"/>
  <c r="DA69" i="3"/>
  <c r="DB69" i="3"/>
  <c r="DC69" i="3"/>
  <c r="A70" i="3"/>
  <c r="CX70" i="3"/>
  <c r="CY70" i="3"/>
  <c r="CZ70" i="3"/>
  <c r="DA70" i="3"/>
  <c r="DB70" i="3"/>
  <c r="DC70" i="3"/>
  <c r="A71" i="3"/>
  <c r="CX71" i="3"/>
  <c r="CY71" i="3"/>
  <c r="CZ71" i="3"/>
  <c r="DA71" i="3"/>
  <c r="DB71" i="3"/>
  <c r="DC71" i="3"/>
  <c r="A72" i="3"/>
  <c r="CX72" i="3"/>
  <c r="CY72" i="3"/>
  <c r="CZ72" i="3"/>
  <c r="DB72" i="3" s="1"/>
  <c r="DA72" i="3"/>
  <c r="DC72" i="3"/>
  <c r="A73" i="3"/>
  <c r="CX73" i="3"/>
  <c r="CY73" i="3"/>
  <c r="CZ73" i="3"/>
  <c r="DB73" i="3" s="1"/>
  <c r="DA73" i="3"/>
  <c r="DC73" i="3"/>
  <c r="A74" i="3"/>
  <c r="CX74" i="3"/>
  <c r="CY74" i="3"/>
  <c r="CZ74" i="3"/>
  <c r="DA74" i="3"/>
  <c r="DB74" i="3"/>
  <c r="DC74" i="3"/>
  <c r="A75" i="3"/>
  <c r="CX75" i="3"/>
  <c r="CY75" i="3"/>
  <c r="CZ75" i="3"/>
  <c r="DA75" i="3"/>
  <c r="DB75" i="3"/>
  <c r="DC75" i="3"/>
  <c r="A76" i="3"/>
  <c r="CX76" i="3"/>
  <c r="CY76" i="3"/>
  <c r="CZ76" i="3"/>
  <c r="DB76" i="3" s="1"/>
  <c r="DA76" i="3"/>
  <c r="DC76" i="3"/>
  <c r="A77" i="3"/>
  <c r="CX77" i="3"/>
  <c r="CY77" i="3"/>
  <c r="CZ77" i="3"/>
  <c r="DA77" i="3"/>
  <c r="DB77" i="3"/>
  <c r="DC77" i="3"/>
  <c r="A78" i="3"/>
  <c r="CX78" i="3"/>
  <c r="CY78" i="3"/>
  <c r="CZ78" i="3"/>
  <c r="DA78" i="3"/>
  <c r="DB78" i="3"/>
  <c r="DC78" i="3"/>
  <c r="A79" i="3"/>
  <c r="CX79" i="3"/>
  <c r="CY79" i="3"/>
  <c r="CZ79" i="3"/>
  <c r="DA79" i="3"/>
  <c r="DB79" i="3"/>
  <c r="DC79" i="3"/>
  <c r="A80" i="3"/>
  <c r="CX80" i="3"/>
  <c r="CY80" i="3"/>
  <c r="CZ80" i="3"/>
  <c r="DB80" i="3" s="1"/>
  <c r="DA80" i="3"/>
  <c r="DC80" i="3"/>
  <c r="A81" i="3"/>
  <c r="CX81" i="3"/>
  <c r="CY81" i="3"/>
  <c r="CZ81" i="3"/>
  <c r="DB81" i="3" s="1"/>
  <c r="DA81" i="3"/>
  <c r="DC81" i="3"/>
  <c r="A82" i="3"/>
  <c r="CX82" i="3"/>
  <c r="CY82" i="3"/>
  <c r="CZ82" i="3"/>
  <c r="DA82" i="3"/>
  <c r="DB82" i="3"/>
  <c r="DC82" i="3"/>
  <c r="A83" i="3"/>
  <c r="CX83" i="3"/>
  <c r="CY83" i="3"/>
  <c r="CZ83" i="3"/>
  <c r="DA83" i="3"/>
  <c r="DB83" i="3"/>
  <c r="DC83" i="3"/>
  <c r="A84" i="3"/>
  <c r="CX84" i="3"/>
  <c r="CY84" i="3"/>
  <c r="CZ84" i="3"/>
  <c r="DB84" i="3" s="1"/>
  <c r="DA84" i="3"/>
  <c r="DC84" i="3"/>
  <c r="A85" i="3"/>
  <c r="CX85" i="3"/>
  <c r="CY85" i="3"/>
  <c r="CZ85" i="3"/>
  <c r="DA85" i="3"/>
  <c r="DB85" i="3"/>
  <c r="DC85" i="3"/>
  <c r="A86" i="3"/>
  <c r="CX86" i="3"/>
  <c r="CY86" i="3"/>
  <c r="CZ86" i="3"/>
  <c r="DA86" i="3"/>
  <c r="DB86" i="3"/>
  <c r="DC86" i="3"/>
  <c r="A87" i="3"/>
  <c r="CX87" i="3"/>
  <c r="CY87" i="3"/>
  <c r="CZ87" i="3"/>
  <c r="DA87" i="3"/>
  <c r="DB87" i="3"/>
  <c r="DC87" i="3"/>
  <c r="A88" i="3"/>
  <c r="CX88" i="3"/>
  <c r="CY88" i="3"/>
  <c r="CZ88" i="3"/>
  <c r="DB88" i="3" s="1"/>
  <c r="DA88" i="3"/>
  <c r="DC88" i="3"/>
  <c r="A89" i="3"/>
  <c r="CX89" i="3"/>
  <c r="CY89" i="3"/>
  <c r="CZ89" i="3"/>
  <c r="DB89" i="3" s="1"/>
  <c r="DA89" i="3"/>
  <c r="DC89" i="3"/>
  <c r="A90" i="3"/>
  <c r="CY90" i="3"/>
  <c r="CZ90" i="3"/>
  <c r="DA90" i="3"/>
  <c r="DB90" i="3"/>
  <c r="DC90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D28" i="1"/>
  <c r="E30" i="1"/>
  <c r="Z30" i="1"/>
  <c r="AA30" i="1"/>
  <c r="AM30" i="1"/>
  <c r="AN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C30" i="1"/>
  <c r="DD30" i="1"/>
  <c r="DE30" i="1"/>
  <c r="DF30" i="1"/>
  <c r="DG30" i="1"/>
  <c r="DH30" i="1"/>
  <c r="DI30" i="1"/>
  <c r="DJ30" i="1"/>
  <c r="DK30" i="1"/>
  <c r="DL30" i="1"/>
  <c r="DM30" i="1"/>
  <c r="DN30" i="1"/>
  <c r="DO30" i="1"/>
  <c r="DP30" i="1"/>
  <c r="DQ30" i="1"/>
  <c r="DR30" i="1"/>
  <c r="DS30" i="1"/>
  <c r="DT30" i="1"/>
  <c r="DU30" i="1"/>
  <c r="DV30" i="1"/>
  <c r="DW30" i="1"/>
  <c r="DX30" i="1"/>
  <c r="DY30" i="1"/>
  <c r="DZ30" i="1"/>
  <c r="EA30" i="1"/>
  <c r="EB30" i="1"/>
  <c r="EC30" i="1"/>
  <c r="ED30" i="1"/>
  <c r="EE30" i="1"/>
  <c r="EF30" i="1"/>
  <c r="EG30" i="1"/>
  <c r="EH30" i="1"/>
  <c r="EI30" i="1"/>
  <c r="EJ30" i="1"/>
  <c r="EK30" i="1"/>
  <c r="EL30" i="1"/>
  <c r="EM30" i="1"/>
  <c r="EN30" i="1"/>
  <c r="EO30" i="1"/>
  <c r="EP30" i="1"/>
  <c r="EQ30" i="1"/>
  <c r="ER30" i="1"/>
  <c r="ES30" i="1"/>
  <c r="ET30" i="1"/>
  <c r="EU30" i="1"/>
  <c r="EV30" i="1"/>
  <c r="EW30" i="1"/>
  <c r="EX30" i="1"/>
  <c r="EY30" i="1"/>
  <c r="EZ30" i="1"/>
  <c r="FA30" i="1"/>
  <c r="FB30" i="1"/>
  <c r="FC30" i="1"/>
  <c r="FD30" i="1"/>
  <c r="FE30" i="1"/>
  <c r="FF30" i="1"/>
  <c r="FG30" i="1"/>
  <c r="FH30" i="1"/>
  <c r="FI30" i="1"/>
  <c r="FJ30" i="1"/>
  <c r="FK30" i="1"/>
  <c r="FL30" i="1"/>
  <c r="FM30" i="1"/>
  <c r="FN30" i="1"/>
  <c r="FO30" i="1"/>
  <c r="FP30" i="1"/>
  <c r="FQ30" i="1"/>
  <c r="FR30" i="1"/>
  <c r="FS30" i="1"/>
  <c r="FT30" i="1"/>
  <c r="FU30" i="1"/>
  <c r="FV30" i="1"/>
  <c r="FW30" i="1"/>
  <c r="FX30" i="1"/>
  <c r="FY30" i="1"/>
  <c r="FZ30" i="1"/>
  <c r="GA30" i="1"/>
  <c r="GB30" i="1"/>
  <c r="GC30" i="1"/>
  <c r="GD30" i="1"/>
  <c r="GE30" i="1"/>
  <c r="GF30" i="1"/>
  <c r="GG30" i="1"/>
  <c r="GH30" i="1"/>
  <c r="GI30" i="1"/>
  <c r="GJ30" i="1"/>
  <c r="GK30" i="1"/>
  <c r="GL30" i="1"/>
  <c r="GM30" i="1"/>
  <c r="GN30" i="1"/>
  <c r="GO30" i="1"/>
  <c r="GP30" i="1"/>
  <c r="GQ30" i="1"/>
  <c r="GR30" i="1"/>
  <c r="GS30" i="1"/>
  <c r="GT30" i="1"/>
  <c r="GU30" i="1"/>
  <c r="GV30" i="1"/>
  <c r="GW30" i="1"/>
  <c r="GX30" i="1"/>
  <c r="C32" i="1"/>
  <c r="D32" i="1"/>
  <c r="I32" i="1"/>
  <c r="V32" i="1"/>
  <c r="AC32" i="1"/>
  <c r="AE32" i="1"/>
  <c r="AF32" i="1"/>
  <c r="AG32" i="1"/>
  <c r="CU32" i="1" s="1"/>
  <c r="T32" i="1" s="1"/>
  <c r="AH32" i="1"/>
  <c r="AI32" i="1"/>
  <c r="CW32" i="1" s="1"/>
  <c r="AJ32" i="1"/>
  <c r="CR32" i="1"/>
  <c r="CV32" i="1"/>
  <c r="CX32" i="1"/>
  <c r="FR32" i="1"/>
  <c r="GL32" i="1"/>
  <c r="GO32" i="1"/>
  <c r="GP32" i="1"/>
  <c r="GV32" i="1"/>
  <c r="HC32" i="1" s="1"/>
  <c r="GX32" i="1"/>
  <c r="C33" i="1"/>
  <c r="D33" i="1"/>
  <c r="AB33" i="1"/>
  <c r="AC33" i="1"/>
  <c r="AD33" i="1"/>
  <c r="AE33" i="1"/>
  <c r="AF33" i="1"/>
  <c r="CT33" i="1" s="1"/>
  <c r="AG33" i="1"/>
  <c r="CU33" i="1" s="1"/>
  <c r="AH33" i="1"/>
  <c r="AI33" i="1"/>
  <c r="AJ33" i="1"/>
  <c r="CX33" i="1" s="1"/>
  <c r="CQ33" i="1"/>
  <c r="CR33" i="1"/>
  <c r="CS33" i="1"/>
  <c r="CV33" i="1"/>
  <c r="CW33" i="1"/>
  <c r="FR33" i="1"/>
  <c r="GL33" i="1"/>
  <c r="GO33" i="1"/>
  <c r="GP33" i="1"/>
  <c r="GV33" i="1"/>
  <c r="HC33" i="1"/>
  <c r="AC34" i="1"/>
  <c r="AD34" i="1"/>
  <c r="AB34" i="1" s="1"/>
  <c r="AE34" i="1"/>
  <c r="AF34" i="1"/>
  <c r="AG34" i="1"/>
  <c r="AH34" i="1"/>
  <c r="CV34" i="1" s="1"/>
  <c r="AI34" i="1"/>
  <c r="AJ34" i="1"/>
  <c r="CX34" i="1" s="1"/>
  <c r="CQ34" i="1"/>
  <c r="CR34" i="1"/>
  <c r="CT34" i="1"/>
  <c r="CU34" i="1"/>
  <c r="CW34" i="1"/>
  <c r="FR34" i="1"/>
  <c r="GL34" i="1"/>
  <c r="GO34" i="1"/>
  <c r="GP34" i="1"/>
  <c r="GV34" i="1"/>
  <c r="HC34" i="1"/>
  <c r="C35" i="1"/>
  <c r="D35" i="1"/>
  <c r="AC35" i="1"/>
  <c r="CQ35" i="1" s="1"/>
  <c r="AD35" i="1"/>
  <c r="AE35" i="1"/>
  <c r="AF35" i="1"/>
  <c r="CT35" i="1" s="1"/>
  <c r="AG35" i="1"/>
  <c r="AH35" i="1"/>
  <c r="CV35" i="1" s="1"/>
  <c r="AI35" i="1"/>
  <c r="CW35" i="1" s="1"/>
  <c r="AJ35" i="1"/>
  <c r="CR35" i="1"/>
  <c r="CS35" i="1"/>
  <c r="CU35" i="1"/>
  <c r="CX35" i="1"/>
  <c r="FR35" i="1"/>
  <c r="GL35" i="1"/>
  <c r="GO35" i="1"/>
  <c r="GP35" i="1"/>
  <c r="GV35" i="1"/>
  <c r="HC35" i="1" s="1"/>
  <c r="C37" i="1"/>
  <c r="D37" i="1"/>
  <c r="P37" i="1"/>
  <c r="CP37" i="1" s="1"/>
  <c r="O37" i="1" s="1"/>
  <c r="Q37" i="1"/>
  <c r="AC37" i="1"/>
  <c r="CQ37" i="1" s="1"/>
  <c r="AE37" i="1"/>
  <c r="AD37" i="1" s="1"/>
  <c r="AF37" i="1"/>
  <c r="S37" i="1" s="1"/>
  <c r="AG37" i="1"/>
  <c r="AH37" i="1"/>
  <c r="CV37" i="1" s="1"/>
  <c r="U37" i="1" s="1"/>
  <c r="AI37" i="1"/>
  <c r="CW37" i="1" s="1"/>
  <c r="V37" i="1" s="1"/>
  <c r="AJ37" i="1"/>
  <c r="CR37" i="1"/>
  <c r="CU37" i="1"/>
  <c r="T37" i="1" s="1"/>
  <c r="CX37" i="1"/>
  <c r="W37" i="1" s="1"/>
  <c r="FR37" i="1"/>
  <c r="GL37" i="1"/>
  <c r="GO37" i="1"/>
  <c r="GP37" i="1"/>
  <c r="GV37" i="1"/>
  <c r="HC37" i="1" s="1"/>
  <c r="GX37" i="1" s="1"/>
  <c r="C38" i="1"/>
  <c r="D38" i="1"/>
  <c r="V38" i="1"/>
  <c r="AC38" i="1"/>
  <c r="P38" i="1" s="1"/>
  <c r="AE38" i="1"/>
  <c r="AF38" i="1"/>
  <c r="AG38" i="1"/>
  <c r="AH38" i="1"/>
  <c r="CV38" i="1" s="1"/>
  <c r="U38" i="1" s="1"/>
  <c r="AI38" i="1"/>
  <c r="AJ38" i="1"/>
  <c r="CX38" i="1" s="1"/>
  <c r="W38" i="1" s="1"/>
  <c r="CR38" i="1"/>
  <c r="CS38" i="1"/>
  <c r="CU38" i="1"/>
  <c r="T38" i="1" s="1"/>
  <c r="CW38" i="1"/>
  <c r="FR38" i="1"/>
  <c r="GL38" i="1"/>
  <c r="GO38" i="1"/>
  <c r="GP38" i="1"/>
  <c r="GV38" i="1"/>
  <c r="HC38" i="1" s="1"/>
  <c r="GX38" i="1" s="1"/>
  <c r="I39" i="1"/>
  <c r="Q39" i="1"/>
  <c r="S39" i="1"/>
  <c r="CZ39" i="1" s="1"/>
  <c r="Y39" i="1" s="1"/>
  <c r="T39" i="1"/>
  <c r="AC39" i="1"/>
  <c r="AD39" i="1"/>
  <c r="AE39" i="1"/>
  <c r="R39" i="1" s="1"/>
  <c r="GK39" i="1" s="1"/>
  <c r="AF39" i="1"/>
  <c r="CT39" i="1" s="1"/>
  <c r="AG39" i="1"/>
  <c r="AH39" i="1"/>
  <c r="CV39" i="1" s="1"/>
  <c r="U39" i="1" s="1"/>
  <c r="AI39" i="1"/>
  <c r="CW39" i="1" s="1"/>
  <c r="V39" i="1" s="1"/>
  <c r="AJ39" i="1"/>
  <c r="CQ39" i="1"/>
  <c r="CR39" i="1"/>
  <c r="CS39" i="1"/>
  <c r="CU39" i="1"/>
  <c r="CX39" i="1"/>
  <c r="W39" i="1" s="1"/>
  <c r="CY39" i="1"/>
  <c r="X39" i="1" s="1"/>
  <c r="FR39" i="1"/>
  <c r="GL39" i="1"/>
  <c r="GO39" i="1"/>
  <c r="GP39" i="1"/>
  <c r="GV39" i="1"/>
  <c r="HC39" i="1" s="1"/>
  <c r="GX39" i="1" s="1"/>
  <c r="I40" i="1"/>
  <c r="Q40" i="1"/>
  <c r="R40" i="1"/>
  <c r="GK40" i="1" s="1"/>
  <c r="AB40" i="1"/>
  <c r="AC40" i="1"/>
  <c r="P40" i="1" s="1"/>
  <c r="AD40" i="1"/>
  <c r="AE40" i="1"/>
  <c r="AF40" i="1"/>
  <c r="CT40" i="1" s="1"/>
  <c r="AG40" i="1"/>
  <c r="CU40" i="1" s="1"/>
  <c r="T40" i="1" s="1"/>
  <c r="AH40" i="1"/>
  <c r="AI40" i="1"/>
  <c r="AJ40" i="1"/>
  <c r="CX40" i="1" s="1"/>
  <c r="W40" i="1" s="1"/>
  <c r="CQ40" i="1"/>
  <c r="CR40" i="1"/>
  <c r="CS40" i="1"/>
  <c r="CV40" i="1"/>
  <c r="U40" i="1" s="1"/>
  <c r="CW40" i="1"/>
  <c r="V40" i="1" s="1"/>
  <c r="FR40" i="1"/>
  <c r="GL40" i="1"/>
  <c r="GO40" i="1"/>
  <c r="GP40" i="1"/>
  <c r="GV40" i="1"/>
  <c r="GX40" i="1"/>
  <c r="HC40" i="1"/>
  <c r="I41" i="1"/>
  <c r="P41" i="1"/>
  <c r="W41" i="1"/>
  <c r="AC41" i="1"/>
  <c r="AD41" i="1"/>
  <c r="AB41" i="1" s="1"/>
  <c r="AE41" i="1"/>
  <c r="R41" i="1" s="1"/>
  <c r="GK41" i="1" s="1"/>
  <c r="AF41" i="1"/>
  <c r="S41" i="1" s="1"/>
  <c r="AG41" i="1"/>
  <c r="AH41" i="1"/>
  <c r="CV41" i="1" s="1"/>
  <c r="U41" i="1" s="1"/>
  <c r="AI41" i="1"/>
  <c r="AJ41" i="1"/>
  <c r="CX41" i="1" s="1"/>
  <c r="CQ41" i="1"/>
  <c r="CR41" i="1"/>
  <c r="CT41" i="1"/>
  <c r="CU41" i="1"/>
  <c r="T41" i="1" s="1"/>
  <c r="CW41" i="1"/>
  <c r="V41" i="1" s="1"/>
  <c r="FR41" i="1"/>
  <c r="GL41" i="1"/>
  <c r="GO41" i="1"/>
  <c r="GP41" i="1"/>
  <c r="GV41" i="1"/>
  <c r="HC41" i="1"/>
  <c r="GX41" i="1" s="1"/>
  <c r="C42" i="1"/>
  <c r="D42" i="1"/>
  <c r="T42" i="1"/>
  <c r="U42" i="1"/>
  <c r="AC42" i="1"/>
  <c r="P42" i="1" s="1"/>
  <c r="AD42" i="1"/>
  <c r="AB42" i="1" s="1"/>
  <c r="AE42" i="1"/>
  <c r="AF42" i="1"/>
  <c r="S42" i="1" s="1"/>
  <c r="CY42" i="1" s="1"/>
  <c r="X42" i="1" s="1"/>
  <c r="AG42" i="1"/>
  <c r="CU42" i="1" s="1"/>
  <c r="AH42" i="1"/>
  <c r="AI42" i="1"/>
  <c r="CW42" i="1" s="1"/>
  <c r="V42" i="1" s="1"/>
  <c r="AJ42" i="1"/>
  <c r="CX42" i="1" s="1"/>
  <c r="W42" i="1" s="1"/>
  <c r="CQ42" i="1"/>
  <c r="CR42" i="1"/>
  <c r="CT42" i="1"/>
  <c r="CV42" i="1"/>
  <c r="CZ42" i="1"/>
  <c r="Y42" i="1" s="1"/>
  <c r="FR42" i="1"/>
  <c r="GL42" i="1"/>
  <c r="GO42" i="1"/>
  <c r="GP42" i="1"/>
  <c r="GV42" i="1"/>
  <c r="HC42" i="1" s="1"/>
  <c r="GX42" i="1" s="1"/>
  <c r="C43" i="1"/>
  <c r="D43" i="1"/>
  <c r="Q43" i="1"/>
  <c r="R43" i="1"/>
  <c r="GK43" i="1" s="1"/>
  <c r="AB43" i="1"/>
  <c r="AC43" i="1"/>
  <c r="P43" i="1" s="1"/>
  <c r="AD43" i="1"/>
  <c r="AE43" i="1"/>
  <c r="AF43" i="1"/>
  <c r="AG43" i="1"/>
  <c r="CU43" i="1" s="1"/>
  <c r="T43" i="1" s="1"/>
  <c r="AH43" i="1"/>
  <c r="AI43" i="1"/>
  <c r="AJ43" i="1"/>
  <c r="CX43" i="1" s="1"/>
  <c r="W43" i="1" s="1"/>
  <c r="CQ43" i="1"/>
  <c r="CR43" i="1"/>
  <c r="CS43" i="1"/>
  <c r="CV43" i="1"/>
  <c r="U43" i="1" s="1"/>
  <c r="CW43" i="1"/>
  <c r="V43" i="1" s="1"/>
  <c r="FR43" i="1"/>
  <c r="GL43" i="1"/>
  <c r="GO43" i="1"/>
  <c r="GP43" i="1"/>
  <c r="GV43" i="1"/>
  <c r="GX43" i="1"/>
  <c r="HC43" i="1"/>
  <c r="C45" i="1"/>
  <c r="D45" i="1"/>
  <c r="Q45" i="1"/>
  <c r="R45" i="1"/>
  <c r="S45" i="1"/>
  <c r="AC45" i="1"/>
  <c r="AD45" i="1"/>
  <c r="AE45" i="1"/>
  <c r="AF45" i="1"/>
  <c r="AG45" i="1"/>
  <c r="CU45" i="1" s="1"/>
  <c r="T45" i="1" s="1"/>
  <c r="AH45" i="1"/>
  <c r="AI45" i="1"/>
  <c r="CW45" i="1" s="1"/>
  <c r="V45" i="1" s="1"/>
  <c r="AJ45" i="1"/>
  <c r="CR45" i="1"/>
  <c r="CS45" i="1"/>
  <c r="CT45" i="1"/>
  <c r="CV45" i="1"/>
  <c r="U45" i="1" s="1"/>
  <c r="CX45" i="1"/>
  <c r="W45" i="1" s="1"/>
  <c r="FR45" i="1"/>
  <c r="GK45" i="1"/>
  <c r="GL45" i="1"/>
  <c r="GO45" i="1"/>
  <c r="GP45" i="1"/>
  <c r="GV45" i="1"/>
  <c r="HC45" i="1"/>
  <c r="GX45" i="1" s="1"/>
  <c r="C46" i="1"/>
  <c r="D46" i="1"/>
  <c r="Q46" i="1"/>
  <c r="R46" i="1"/>
  <c r="GK46" i="1" s="1"/>
  <c r="S46" i="1"/>
  <c r="CZ46" i="1" s="1"/>
  <c r="X46" i="1"/>
  <c r="Y46" i="1"/>
  <c r="AC46" i="1"/>
  <c r="AB46" i="1" s="1"/>
  <c r="AD46" i="1"/>
  <c r="AE46" i="1"/>
  <c r="AF46" i="1"/>
  <c r="CT46" i="1" s="1"/>
  <c r="AG46" i="1"/>
  <c r="AH46" i="1"/>
  <c r="AI46" i="1"/>
  <c r="CW46" i="1" s="1"/>
  <c r="V46" i="1" s="1"/>
  <c r="AJ46" i="1"/>
  <c r="CR46" i="1"/>
  <c r="CS46" i="1"/>
  <c r="CU46" i="1"/>
  <c r="T46" i="1" s="1"/>
  <c r="CV46" i="1"/>
  <c r="U46" i="1" s="1"/>
  <c r="CX46" i="1"/>
  <c r="W46" i="1" s="1"/>
  <c r="CY46" i="1"/>
  <c r="FR46" i="1"/>
  <c r="GL46" i="1"/>
  <c r="GO46" i="1"/>
  <c r="GP46" i="1"/>
  <c r="GV46" i="1"/>
  <c r="HC46" i="1" s="1"/>
  <c r="GX46" i="1"/>
  <c r="I47" i="1"/>
  <c r="P47" i="1" s="1"/>
  <c r="R47" i="1"/>
  <c r="GK47" i="1" s="1"/>
  <c r="T47" i="1"/>
  <c r="Y47" i="1"/>
  <c r="AC47" i="1"/>
  <c r="AD47" i="1"/>
  <c r="AE47" i="1"/>
  <c r="AF47" i="1"/>
  <c r="S47" i="1" s="1"/>
  <c r="CZ47" i="1" s="1"/>
  <c r="AG47" i="1"/>
  <c r="CU47" i="1" s="1"/>
  <c r="AH47" i="1"/>
  <c r="AI47" i="1"/>
  <c r="CW47" i="1" s="1"/>
  <c r="V47" i="1" s="1"/>
  <c r="AJ47" i="1"/>
  <c r="CX47" i="1" s="1"/>
  <c r="W47" i="1" s="1"/>
  <c r="CQ47" i="1"/>
  <c r="CR47" i="1"/>
  <c r="CS47" i="1"/>
  <c r="CT47" i="1"/>
  <c r="CV47" i="1"/>
  <c r="CY47" i="1"/>
  <c r="X47" i="1" s="1"/>
  <c r="FR47" i="1"/>
  <c r="GL47" i="1"/>
  <c r="GO47" i="1"/>
  <c r="GP47" i="1"/>
  <c r="GV47" i="1"/>
  <c r="GX47" i="1"/>
  <c r="HC47" i="1"/>
  <c r="I48" i="1"/>
  <c r="P48" i="1"/>
  <c r="U48" i="1"/>
  <c r="W48" i="1"/>
  <c r="AC48" i="1"/>
  <c r="AD48" i="1"/>
  <c r="AB48" i="1" s="1"/>
  <c r="AE48" i="1"/>
  <c r="R48" i="1" s="1"/>
  <c r="GK48" i="1" s="1"/>
  <c r="AF48" i="1"/>
  <c r="S48" i="1" s="1"/>
  <c r="CZ48" i="1" s="1"/>
  <c r="Y48" i="1" s="1"/>
  <c r="AG48" i="1"/>
  <c r="AH48" i="1"/>
  <c r="CV48" i="1" s="1"/>
  <c r="AI48" i="1"/>
  <c r="AJ48" i="1"/>
  <c r="CX48" i="1" s="1"/>
  <c r="CQ48" i="1"/>
  <c r="CR48" i="1"/>
  <c r="CS48" i="1"/>
  <c r="CT48" i="1"/>
  <c r="CU48" i="1"/>
  <c r="T48" i="1" s="1"/>
  <c r="CW48" i="1"/>
  <c r="V48" i="1" s="1"/>
  <c r="CY48" i="1"/>
  <c r="X48" i="1" s="1"/>
  <c r="FR48" i="1"/>
  <c r="GL48" i="1"/>
  <c r="GO48" i="1"/>
  <c r="GP48" i="1"/>
  <c r="GV48" i="1"/>
  <c r="HC48" i="1"/>
  <c r="GX48" i="1" s="1"/>
  <c r="I49" i="1"/>
  <c r="Q49" i="1" s="1"/>
  <c r="S49" i="1"/>
  <c r="CZ49" i="1" s="1"/>
  <c r="Y49" i="1" s="1"/>
  <c r="X49" i="1"/>
  <c r="AC49" i="1"/>
  <c r="AD49" i="1"/>
  <c r="AB49" i="1" s="1"/>
  <c r="AE49" i="1"/>
  <c r="R49" i="1" s="1"/>
  <c r="GK49" i="1" s="1"/>
  <c r="AF49" i="1"/>
  <c r="CT49" i="1" s="1"/>
  <c r="AG49" i="1"/>
  <c r="AH49" i="1"/>
  <c r="CV49" i="1" s="1"/>
  <c r="U49" i="1" s="1"/>
  <c r="AI49" i="1"/>
  <c r="CW49" i="1" s="1"/>
  <c r="V49" i="1" s="1"/>
  <c r="AJ49" i="1"/>
  <c r="CX49" i="1" s="1"/>
  <c r="W49" i="1" s="1"/>
  <c r="CQ49" i="1"/>
  <c r="CR49" i="1"/>
  <c r="CU49" i="1"/>
  <c r="T49" i="1" s="1"/>
  <c r="CY49" i="1"/>
  <c r="FR49" i="1"/>
  <c r="GL49" i="1"/>
  <c r="GO49" i="1"/>
  <c r="GP49" i="1"/>
  <c r="GV49" i="1"/>
  <c r="HC49" i="1" s="1"/>
  <c r="GX49" i="1" s="1"/>
  <c r="C50" i="1"/>
  <c r="D50" i="1"/>
  <c r="U50" i="1"/>
  <c r="AC50" i="1"/>
  <c r="P50" i="1" s="1"/>
  <c r="CP50" i="1" s="1"/>
  <c r="O50" i="1" s="1"/>
  <c r="AE50" i="1"/>
  <c r="Q50" i="1" s="1"/>
  <c r="AF50" i="1"/>
  <c r="S50" i="1" s="1"/>
  <c r="AG50" i="1"/>
  <c r="CU50" i="1" s="1"/>
  <c r="T50" i="1" s="1"/>
  <c r="AH50" i="1"/>
  <c r="AI50" i="1"/>
  <c r="CW50" i="1" s="1"/>
  <c r="V50" i="1" s="1"/>
  <c r="AJ50" i="1"/>
  <c r="CX50" i="1" s="1"/>
  <c r="W50" i="1" s="1"/>
  <c r="CR50" i="1"/>
  <c r="CV50" i="1"/>
  <c r="FR50" i="1"/>
  <c r="GL50" i="1"/>
  <c r="GO50" i="1"/>
  <c r="GP50" i="1"/>
  <c r="GV50" i="1"/>
  <c r="HC50" i="1" s="1"/>
  <c r="GX50" i="1" s="1"/>
  <c r="C51" i="1"/>
  <c r="D51" i="1"/>
  <c r="R51" i="1"/>
  <c r="GK51" i="1" s="1"/>
  <c r="AB51" i="1"/>
  <c r="AC51" i="1"/>
  <c r="P51" i="1" s="1"/>
  <c r="AD51" i="1"/>
  <c r="AE51" i="1"/>
  <c r="Q51" i="1" s="1"/>
  <c r="AF51" i="1"/>
  <c r="CT51" i="1" s="1"/>
  <c r="AG51" i="1"/>
  <c r="CU51" i="1" s="1"/>
  <c r="T51" i="1" s="1"/>
  <c r="AH51" i="1"/>
  <c r="CV51" i="1" s="1"/>
  <c r="U51" i="1" s="1"/>
  <c r="AI51" i="1"/>
  <c r="AJ51" i="1"/>
  <c r="CX51" i="1" s="1"/>
  <c r="W51" i="1" s="1"/>
  <c r="CR51" i="1"/>
  <c r="CS51" i="1"/>
  <c r="CW51" i="1"/>
  <c r="V51" i="1" s="1"/>
  <c r="FR51" i="1"/>
  <c r="GL51" i="1"/>
  <c r="GO51" i="1"/>
  <c r="GP51" i="1"/>
  <c r="GV51" i="1"/>
  <c r="GX51" i="1"/>
  <c r="HC51" i="1"/>
  <c r="C53" i="1"/>
  <c r="D53" i="1"/>
  <c r="S53" i="1"/>
  <c r="CY53" i="1" s="1"/>
  <c r="X53" i="1" s="1"/>
  <c r="W53" i="1"/>
  <c r="AC53" i="1"/>
  <c r="AB53" i="1" s="1"/>
  <c r="AD53" i="1"/>
  <c r="AE53" i="1"/>
  <c r="R53" i="1" s="1"/>
  <c r="GK53" i="1" s="1"/>
  <c r="AF53" i="1"/>
  <c r="AG53" i="1"/>
  <c r="CU53" i="1" s="1"/>
  <c r="T53" i="1" s="1"/>
  <c r="AH53" i="1"/>
  <c r="CV53" i="1" s="1"/>
  <c r="U53" i="1" s="1"/>
  <c r="AI53" i="1"/>
  <c r="CW53" i="1" s="1"/>
  <c r="V53" i="1" s="1"/>
  <c r="AJ53" i="1"/>
  <c r="CR53" i="1"/>
  <c r="CT53" i="1"/>
  <c r="CX53" i="1"/>
  <c r="FR53" i="1"/>
  <c r="GL53" i="1"/>
  <c r="GO53" i="1"/>
  <c r="GP53" i="1"/>
  <c r="GV53" i="1"/>
  <c r="HC53" i="1"/>
  <c r="GX53" i="1" s="1"/>
  <c r="C54" i="1"/>
  <c r="D54" i="1"/>
  <c r="P54" i="1"/>
  <c r="T54" i="1"/>
  <c r="AC54" i="1"/>
  <c r="AD54" i="1"/>
  <c r="AB54" i="1" s="1"/>
  <c r="AE54" i="1"/>
  <c r="Q54" i="1" s="1"/>
  <c r="AF54" i="1"/>
  <c r="CT54" i="1" s="1"/>
  <c r="AG54" i="1"/>
  <c r="AH54" i="1"/>
  <c r="CV54" i="1" s="1"/>
  <c r="U54" i="1" s="1"/>
  <c r="AI54" i="1"/>
  <c r="CW54" i="1" s="1"/>
  <c r="V54" i="1" s="1"/>
  <c r="AJ54" i="1"/>
  <c r="CX54" i="1" s="1"/>
  <c r="W54" i="1" s="1"/>
  <c r="CQ54" i="1"/>
  <c r="CR54" i="1"/>
  <c r="CU54" i="1"/>
  <c r="FR54" i="1"/>
  <c r="GL54" i="1"/>
  <c r="GO54" i="1"/>
  <c r="GP54" i="1"/>
  <c r="GV54" i="1"/>
  <c r="HC54" i="1" s="1"/>
  <c r="GX54" i="1" s="1"/>
  <c r="I55" i="1"/>
  <c r="Q55" i="1" s="1"/>
  <c r="R55" i="1"/>
  <c r="GK55" i="1" s="1"/>
  <c r="AB55" i="1"/>
  <c r="AC55" i="1"/>
  <c r="P55" i="1" s="1"/>
  <c r="AD55" i="1"/>
  <c r="AE55" i="1"/>
  <c r="AF55" i="1"/>
  <c r="CT55" i="1" s="1"/>
  <c r="AG55" i="1"/>
  <c r="CU55" i="1" s="1"/>
  <c r="T55" i="1" s="1"/>
  <c r="AH55" i="1"/>
  <c r="CV55" i="1" s="1"/>
  <c r="U55" i="1" s="1"/>
  <c r="AI55" i="1"/>
  <c r="AJ55" i="1"/>
  <c r="CX55" i="1" s="1"/>
  <c r="W55" i="1" s="1"/>
  <c r="CR55" i="1"/>
  <c r="CS55" i="1"/>
  <c r="CW55" i="1"/>
  <c r="V55" i="1" s="1"/>
  <c r="FR55" i="1"/>
  <c r="GL55" i="1"/>
  <c r="GO55" i="1"/>
  <c r="GP55" i="1"/>
  <c r="GV55" i="1"/>
  <c r="GX55" i="1"/>
  <c r="HC55" i="1"/>
  <c r="I56" i="1"/>
  <c r="P56" i="1"/>
  <c r="Q56" i="1"/>
  <c r="AC56" i="1"/>
  <c r="AD56" i="1"/>
  <c r="AB56" i="1" s="1"/>
  <c r="AE56" i="1"/>
  <c r="CS56" i="1" s="1"/>
  <c r="AF56" i="1"/>
  <c r="S56" i="1" s="1"/>
  <c r="AG56" i="1"/>
  <c r="AH56" i="1"/>
  <c r="CV56" i="1" s="1"/>
  <c r="U56" i="1" s="1"/>
  <c r="AI56" i="1"/>
  <c r="CW56" i="1" s="1"/>
  <c r="V56" i="1" s="1"/>
  <c r="AJ56" i="1"/>
  <c r="CX56" i="1" s="1"/>
  <c r="W56" i="1" s="1"/>
  <c r="CQ56" i="1"/>
  <c r="CR56" i="1"/>
  <c r="CU56" i="1"/>
  <c r="T56" i="1" s="1"/>
  <c r="FR56" i="1"/>
  <c r="GL56" i="1"/>
  <c r="GO56" i="1"/>
  <c r="GP56" i="1"/>
  <c r="GV56" i="1"/>
  <c r="HC56" i="1" s="1"/>
  <c r="GX56" i="1" s="1"/>
  <c r="I57" i="1"/>
  <c r="Q57" i="1" s="1"/>
  <c r="V57" i="1"/>
  <c r="AC57" i="1"/>
  <c r="CQ57" i="1" s="1"/>
  <c r="AD57" i="1"/>
  <c r="AE57" i="1"/>
  <c r="AF57" i="1"/>
  <c r="AB57" i="1" s="1"/>
  <c r="AG57" i="1"/>
  <c r="CU57" i="1" s="1"/>
  <c r="T57" i="1" s="1"/>
  <c r="AH57" i="1"/>
  <c r="CV57" i="1" s="1"/>
  <c r="U57" i="1" s="1"/>
  <c r="AI57" i="1"/>
  <c r="AJ57" i="1"/>
  <c r="CX57" i="1" s="1"/>
  <c r="W57" i="1" s="1"/>
  <c r="CR57" i="1"/>
  <c r="CS57" i="1"/>
  <c r="CW57" i="1"/>
  <c r="FR57" i="1"/>
  <c r="GL57" i="1"/>
  <c r="GO57" i="1"/>
  <c r="GP57" i="1"/>
  <c r="GV57" i="1"/>
  <c r="GX57" i="1"/>
  <c r="HC57" i="1"/>
  <c r="C58" i="1"/>
  <c r="D58" i="1"/>
  <c r="Q58" i="1"/>
  <c r="S58" i="1"/>
  <c r="AC58" i="1"/>
  <c r="AD58" i="1"/>
  <c r="AE58" i="1"/>
  <c r="CS58" i="1" s="1"/>
  <c r="AF58" i="1"/>
  <c r="AG58" i="1"/>
  <c r="CU58" i="1" s="1"/>
  <c r="T58" i="1" s="1"/>
  <c r="AH58" i="1"/>
  <c r="CV58" i="1" s="1"/>
  <c r="U58" i="1" s="1"/>
  <c r="AI58" i="1"/>
  <c r="CW58" i="1" s="1"/>
  <c r="V58" i="1" s="1"/>
  <c r="AJ58" i="1"/>
  <c r="CR58" i="1"/>
  <c r="CT58" i="1"/>
  <c r="CX58" i="1"/>
  <c r="W58" i="1" s="1"/>
  <c r="FR58" i="1"/>
  <c r="GL58" i="1"/>
  <c r="GO58" i="1"/>
  <c r="CC69" i="1" s="1"/>
  <c r="GP58" i="1"/>
  <c r="GV58" i="1"/>
  <c r="HC58" i="1"/>
  <c r="GX58" i="1" s="1"/>
  <c r="C59" i="1"/>
  <c r="D59" i="1"/>
  <c r="P59" i="1"/>
  <c r="Q59" i="1"/>
  <c r="AC59" i="1"/>
  <c r="AD59" i="1"/>
  <c r="AB59" i="1" s="1"/>
  <c r="AE59" i="1"/>
  <c r="CS59" i="1" s="1"/>
  <c r="AF59" i="1"/>
  <c r="S59" i="1" s="1"/>
  <c r="AG59" i="1"/>
  <c r="AH59" i="1"/>
  <c r="CV59" i="1" s="1"/>
  <c r="U59" i="1" s="1"/>
  <c r="AI59" i="1"/>
  <c r="CW59" i="1" s="1"/>
  <c r="V59" i="1" s="1"/>
  <c r="AJ59" i="1"/>
  <c r="CX59" i="1" s="1"/>
  <c r="W59" i="1" s="1"/>
  <c r="CQ59" i="1"/>
  <c r="CR59" i="1"/>
  <c r="CU59" i="1"/>
  <c r="T59" i="1" s="1"/>
  <c r="FR59" i="1"/>
  <c r="GL59" i="1"/>
  <c r="BZ69" i="1" s="1"/>
  <c r="CG69" i="1" s="1"/>
  <c r="GO59" i="1"/>
  <c r="GP59" i="1"/>
  <c r="GV59" i="1"/>
  <c r="HC59" i="1" s="1"/>
  <c r="GX59" i="1" s="1"/>
  <c r="C61" i="1"/>
  <c r="D61" i="1"/>
  <c r="U61" i="1"/>
  <c r="AC61" i="1"/>
  <c r="P61" i="1" s="1"/>
  <c r="AE61" i="1"/>
  <c r="AF61" i="1"/>
  <c r="S61" i="1" s="1"/>
  <c r="CY61" i="1" s="1"/>
  <c r="X61" i="1" s="1"/>
  <c r="AG61" i="1"/>
  <c r="CU61" i="1" s="1"/>
  <c r="T61" i="1" s="1"/>
  <c r="AH61" i="1"/>
  <c r="AI61" i="1"/>
  <c r="CW61" i="1" s="1"/>
  <c r="V61" i="1" s="1"/>
  <c r="AJ61" i="1"/>
  <c r="CX61" i="1" s="1"/>
  <c r="W61" i="1" s="1"/>
  <c r="CV61" i="1"/>
  <c r="CZ61" i="1"/>
  <c r="Y61" i="1" s="1"/>
  <c r="FR61" i="1"/>
  <c r="GL61" i="1"/>
  <c r="GO61" i="1"/>
  <c r="GP61" i="1"/>
  <c r="GV61" i="1"/>
  <c r="HC61" i="1" s="1"/>
  <c r="GX61" i="1" s="1"/>
  <c r="C62" i="1"/>
  <c r="D62" i="1"/>
  <c r="R62" i="1"/>
  <c r="GK62" i="1" s="1"/>
  <c r="AB62" i="1"/>
  <c r="AC62" i="1"/>
  <c r="P62" i="1" s="1"/>
  <c r="AD62" i="1"/>
  <c r="AE62" i="1"/>
  <c r="Q62" i="1" s="1"/>
  <c r="AF62" i="1"/>
  <c r="CT62" i="1" s="1"/>
  <c r="AG62" i="1"/>
  <c r="CU62" i="1" s="1"/>
  <c r="T62" i="1" s="1"/>
  <c r="AH62" i="1"/>
  <c r="CV62" i="1" s="1"/>
  <c r="U62" i="1" s="1"/>
  <c r="AI62" i="1"/>
  <c r="AJ62" i="1"/>
  <c r="CX62" i="1" s="1"/>
  <c r="W62" i="1" s="1"/>
  <c r="CR62" i="1"/>
  <c r="CS62" i="1"/>
  <c r="CW62" i="1"/>
  <c r="V62" i="1" s="1"/>
  <c r="FR62" i="1"/>
  <c r="GL62" i="1"/>
  <c r="GO62" i="1"/>
  <c r="GP62" i="1"/>
  <c r="GV62" i="1"/>
  <c r="GX62" i="1"/>
  <c r="HC62" i="1"/>
  <c r="I63" i="1"/>
  <c r="P63" i="1"/>
  <c r="Q63" i="1"/>
  <c r="AC63" i="1"/>
  <c r="AD63" i="1"/>
  <c r="AB63" i="1" s="1"/>
  <c r="AE63" i="1"/>
  <c r="CS63" i="1" s="1"/>
  <c r="AF63" i="1"/>
  <c r="S63" i="1" s="1"/>
  <c r="AG63" i="1"/>
  <c r="AH63" i="1"/>
  <c r="CV63" i="1" s="1"/>
  <c r="U63" i="1" s="1"/>
  <c r="AI63" i="1"/>
  <c r="CW63" i="1" s="1"/>
  <c r="V63" i="1" s="1"/>
  <c r="AJ63" i="1"/>
  <c r="CX63" i="1" s="1"/>
  <c r="W63" i="1" s="1"/>
  <c r="CQ63" i="1"/>
  <c r="CR63" i="1"/>
  <c r="CU63" i="1"/>
  <c r="T63" i="1" s="1"/>
  <c r="FR63" i="1"/>
  <c r="GL63" i="1"/>
  <c r="GO63" i="1"/>
  <c r="GP63" i="1"/>
  <c r="GV63" i="1"/>
  <c r="HC63" i="1" s="1"/>
  <c r="GX63" i="1" s="1"/>
  <c r="I64" i="1"/>
  <c r="V64" i="1"/>
  <c r="AC64" i="1"/>
  <c r="CQ64" i="1" s="1"/>
  <c r="AD64" i="1"/>
  <c r="AE64" i="1"/>
  <c r="AF64" i="1"/>
  <c r="AG64" i="1"/>
  <c r="CU64" i="1" s="1"/>
  <c r="AH64" i="1"/>
  <c r="CV64" i="1" s="1"/>
  <c r="U64" i="1" s="1"/>
  <c r="AI64" i="1"/>
  <c r="AJ64" i="1"/>
  <c r="CX64" i="1" s="1"/>
  <c r="W64" i="1" s="1"/>
  <c r="CR64" i="1"/>
  <c r="CS64" i="1"/>
  <c r="CW64" i="1"/>
  <c r="FR64" i="1"/>
  <c r="BY69" i="1" s="1"/>
  <c r="GL64" i="1"/>
  <c r="GO64" i="1"/>
  <c r="GP64" i="1"/>
  <c r="GV64" i="1"/>
  <c r="HC64" i="1"/>
  <c r="I65" i="1"/>
  <c r="P65" i="1"/>
  <c r="T65" i="1"/>
  <c r="AC65" i="1"/>
  <c r="AD65" i="1"/>
  <c r="AB65" i="1" s="1"/>
  <c r="AE65" i="1"/>
  <c r="Q65" i="1" s="1"/>
  <c r="AF65" i="1"/>
  <c r="CT65" i="1" s="1"/>
  <c r="AG65" i="1"/>
  <c r="AH65" i="1"/>
  <c r="CV65" i="1" s="1"/>
  <c r="U65" i="1" s="1"/>
  <c r="AI65" i="1"/>
  <c r="CW65" i="1" s="1"/>
  <c r="V65" i="1" s="1"/>
  <c r="AJ65" i="1"/>
  <c r="CX65" i="1" s="1"/>
  <c r="W65" i="1" s="1"/>
  <c r="CQ65" i="1"/>
  <c r="CR65" i="1"/>
  <c r="CU65" i="1"/>
  <c r="FR65" i="1"/>
  <c r="GL65" i="1"/>
  <c r="GO65" i="1"/>
  <c r="GP65" i="1"/>
  <c r="GV65" i="1"/>
  <c r="HC65" i="1" s="1"/>
  <c r="GX65" i="1" s="1"/>
  <c r="C66" i="1"/>
  <c r="D66" i="1"/>
  <c r="Q66" i="1"/>
  <c r="AC66" i="1"/>
  <c r="CQ66" i="1" s="1"/>
  <c r="AE66" i="1"/>
  <c r="AD66" i="1" s="1"/>
  <c r="AB66" i="1" s="1"/>
  <c r="AF66" i="1"/>
  <c r="CT66" i="1" s="1"/>
  <c r="AG66" i="1"/>
  <c r="CU66" i="1" s="1"/>
  <c r="T66" i="1" s="1"/>
  <c r="AH66" i="1"/>
  <c r="AI66" i="1"/>
  <c r="CW66" i="1" s="1"/>
  <c r="V66" i="1" s="1"/>
  <c r="AJ66" i="1"/>
  <c r="CX66" i="1" s="1"/>
  <c r="W66" i="1" s="1"/>
  <c r="CR66" i="1"/>
  <c r="CV66" i="1"/>
  <c r="U66" i="1" s="1"/>
  <c r="FR66" i="1"/>
  <c r="GL66" i="1"/>
  <c r="GO66" i="1"/>
  <c r="GP66" i="1"/>
  <c r="GV66" i="1"/>
  <c r="HC66" i="1" s="1"/>
  <c r="GX66" i="1" s="1"/>
  <c r="C67" i="1"/>
  <c r="D67" i="1"/>
  <c r="R67" i="1"/>
  <c r="GK67" i="1" s="1"/>
  <c r="V67" i="1"/>
  <c r="AC67" i="1"/>
  <c r="CQ67" i="1" s="1"/>
  <c r="AD67" i="1"/>
  <c r="AE67" i="1"/>
  <c r="Q67" i="1" s="1"/>
  <c r="AF67" i="1"/>
  <c r="AG67" i="1"/>
  <c r="CU67" i="1" s="1"/>
  <c r="T67" i="1" s="1"/>
  <c r="AH67" i="1"/>
  <c r="CV67" i="1" s="1"/>
  <c r="U67" i="1" s="1"/>
  <c r="AI67" i="1"/>
  <c r="AJ67" i="1"/>
  <c r="CX67" i="1" s="1"/>
  <c r="W67" i="1" s="1"/>
  <c r="CR67" i="1"/>
  <c r="CS67" i="1"/>
  <c r="CW67" i="1"/>
  <c r="FR67" i="1"/>
  <c r="GL67" i="1"/>
  <c r="GO67" i="1"/>
  <c r="GP67" i="1"/>
  <c r="GV67" i="1"/>
  <c r="GX67" i="1"/>
  <c r="HC67" i="1"/>
  <c r="B69" i="1"/>
  <c r="B30" i="1" s="1"/>
  <c r="C69" i="1"/>
  <c r="C30" i="1" s="1"/>
  <c r="D69" i="1"/>
  <c r="D30" i="1" s="1"/>
  <c r="F69" i="1"/>
  <c r="F30" i="1" s="1"/>
  <c r="G69" i="1"/>
  <c r="G30" i="1" s="1"/>
  <c r="BX69" i="1"/>
  <c r="BX30" i="1" s="1"/>
  <c r="CD69" i="1"/>
  <c r="CK69" i="1"/>
  <c r="CL69" i="1"/>
  <c r="CL30" i="1" s="1"/>
  <c r="CM69" i="1"/>
  <c r="CM30" i="1" s="1"/>
  <c r="D99" i="1"/>
  <c r="B101" i="1"/>
  <c r="D101" i="1"/>
  <c r="E101" i="1"/>
  <c r="F101" i="1"/>
  <c r="Z101" i="1"/>
  <c r="AA101" i="1"/>
  <c r="AM101" i="1"/>
  <c r="AN101" i="1"/>
  <c r="BE101" i="1"/>
  <c r="BF101" i="1"/>
  <c r="BG101" i="1"/>
  <c r="BH101" i="1"/>
  <c r="BI101" i="1"/>
  <c r="BJ101" i="1"/>
  <c r="BK101" i="1"/>
  <c r="BL101" i="1"/>
  <c r="BM101" i="1"/>
  <c r="BN101" i="1"/>
  <c r="BO101" i="1"/>
  <c r="BP101" i="1"/>
  <c r="BQ101" i="1"/>
  <c r="BR101" i="1"/>
  <c r="BS101" i="1"/>
  <c r="BT101" i="1"/>
  <c r="BU101" i="1"/>
  <c r="BV101" i="1"/>
  <c r="BW101" i="1"/>
  <c r="CK101" i="1"/>
  <c r="CN101" i="1"/>
  <c r="CO101" i="1"/>
  <c r="CP101" i="1"/>
  <c r="CQ101" i="1"/>
  <c r="CR101" i="1"/>
  <c r="CS101" i="1"/>
  <c r="CT101" i="1"/>
  <c r="CU101" i="1"/>
  <c r="CV101" i="1"/>
  <c r="CW101" i="1"/>
  <c r="CX101" i="1"/>
  <c r="CY101" i="1"/>
  <c r="CZ101" i="1"/>
  <c r="DA101" i="1"/>
  <c r="DB101" i="1"/>
  <c r="DC101" i="1"/>
  <c r="DD101" i="1"/>
  <c r="DE101" i="1"/>
  <c r="DF101" i="1"/>
  <c r="DG101" i="1"/>
  <c r="DH101" i="1"/>
  <c r="DI101" i="1"/>
  <c r="DJ101" i="1"/>
  <c r="DK101" i="1"/>
  <c r="DL101" i="1"/>
  <c r="DM101" i="1"/>
  <c r="DN101" i="1"/>
  <c r="DO101" i="1"/>
  <c r="DP101" i="1"/>
  <c r="DQ101" i="1"/>
  <c r="DR101" i="1"/>
  <c r="DS101" i="1"/>
  <c r="DT101" i="1"/>
  <c r="DU101" i="1"/>
  <c r="DV101" i="1"/>
  <c r="DW101" i="1"/>
  <c r="DX101" i="1"/>
  <c r="DY101" i="1"/>
  <c r="DZ101" i="1"/>
  <c r="EA101" i="1"/>
  <c r="EB101" i="1"/>
  <c r="EC101" i="1"/>
  <c r="ED101" i="1"/>
  <c r="EE101" i="1"/>
  <c r="EF101" i="1"/>
  <c r="EG101" i="1"/>
  <c r="EH101" i="1"/>
  <c r="EI101" i="1"/>
  <c r="EJ101" i="1"/>
  <c r="EK101" i="1"/>
  <c r="EL101" i="1"/>
  <c r="EM101" i="1"/>
  <c r="EN101" i="1"/>
  <c r="EO101" i="1"/>
  <c r="EP101" i="1"/>
  <c r="EQ101" i="1"/>
  <c r="ER101" i="1"/>
  <c r="ES101" i="1"/>
  <c r="ET101" i="1"/>
  <c r="EU101" i="1"/>
  <c r="EV101" i="1"/>
  <c r="EW101" i="1"/>
  <c r="EX101" i="1"/>
  <c r="EY101" i="1"/>
  <c r="EZ101" i="1"/>
  <c r="FA101" i="1"/>
  <c r="FB101" i="1"/>
  <c r="FC101" i="1"/>
  <c r="FD101" i="1"/>
  <c r="FE101" i="1"/>
  <c r="FF101" i="1"/>
  <c r="FG101" i="1"/>
  <c r="FH101" i="1"/>
  <c r="FI101" i="1"/>
  <c r="FJ101" i="1"/>
  <c r="FK101" i="1"/>
  <c r="FL101" i="1"/>
  <c r="FM101" i="1"/>
  <c r="FN101" i="1"/>
  <c r="FO101" i="1"/>
  <c r="FP101" i="1"/>
  <c r="FQ101" i="1"/>
  <c r="FR101" i="1"/>
  <c r="FS101" i="1"/>
  <c r="FT101" i="1"/>
  <c r="FU101" i="1"/>
  <c r="FV101" i="1"/>
  <c r="FW101" i="1"/>
  <c r="FX101" i="1"/>
  <c r="FY101" i="1"/>
  <c r="FZ101" i="1"/>
  <c r="GA101" i="1"/>
  <c r="GB101" i="1"/>
  <c r="GC101" i="1"/>
  <c r="GD101" i="1"/>
  <c r="GE101" i="1"/>
  <c r="GF101" i="1"/>
  <c r="GG101" i="1"/>
  <c r="GH101" i="1"/>
  <c r="GI101" i="1"/>
  <c r="GJ101" i="1"/>
  <c r="GK101" i="1"/>
  <c r="GL101" i="1"/>
  <c r="GM101" i="1"/>
  <c r="GN101" i="1"/>
  <c r="GO101" i="1"/>
  <c r="GP101" i="1"/>
  <c r="GQ101" i="1"/>
  <c r="GR101" i="1"/>
  <c r="GS101" i="1"/>
  <c r="GT101" i="1"/>
  <c r="GU101" i="1"/>
  <c r="GV101" i="1"/>
  <c r="GW101" i="1"/>
  <c r="GX101" i="1"/>
  <c r="D103" i="1"/>
  <c r="I103" i="1"/>
  <c r="Q103" i="1"/>
  <c r="AD106" i="1" s="1"/>
  <c r="S103" i="1"/>
  <c r="AC103" i="1"/>
  <c r="P103" i="1" s="1"/>
  <c r="AE103" i="1"/>
  <c r="CS103" i="1" s="1"/>
  <c r="AF103" i="1"/>
  <c r="AG103" i="1"/>
  <c r="AH103" i="1"/>
  <c r="CV103" i="1" s="1"/>
  <c r="U103" i="1" s="1"/>
  <c r="AI103" i="1"/>
  <c r="CW103" i="1" s="1"/>
  <c r="V103" i="1" s="1"/>
  <c r="AI106" i="1" s="1"/>
  <c r="AJ103" i="1"/>
  <c r="CR103" i="1"/>
  <c r="CT103" i="1"/>
  <c r="CU103" i="1"/>
  <c r="T103" i="1" s="1"/>
  <c r="AG106" i="1" s="1"/>
  <c r="CX103" i="1"/>
  <c r="W103" i="1" s="1"/>
  <c r="FR103" i="1"/>
  <c r="GL103" i="1"/>
  <c r="GN103" i="1"/>
  <c r="GP103" i="1"/>
  <c r="GV103" i="1"/>
  <c r="HC103" i="1"/>
  <c r="GX103" i="1" s="1"/>
  <c r="I104" i="1"/>
  <c r="W104" i="1" s="1"/>
  <c r="Q104" i="1"/>
  <c r="AC104" i="1"/>
  <c r="CQ104" i="1" s="1"/>
  <c r="AE104" i="1"/>
  <c r="AD104" i="1" s="1"/>
  <c r="AF104" i="1"/>
  <c r="CT104" i="1" s="1"/>
  <c r="AG104" i="1"/>
  <c r="CU104" i="1" s="1"/>
  <c r="T104" i="1" s="1"/>
  <c r="AH104" i="1"/>
  <c r="AI104" i="1"/>
  <c r="CW104" i="1" s="1"/>
  <c r="V104" i="1" s="1"/>
  <c r="AJ104" i="1"/>
  <c r="CR104" i="1"/>
  <c r="CS104" i="1"/>
  <c r="CV104" i="1"/>
  <c r="U104" i="1" s="1"/>
  <c r="CX104" i="1"/>
  <c r="FR104" i="1"/>
  <c r="BY106" i="1" s="1"/>
  <c r="GL104" i="1"/>
  <c r="GO104" i="1"/>
  <c r="GP104" i="1"/>
  <c r="GV104" i="1"/>
  <c r="HC104" i="1" s="1"/>
  <c r="GX104" i="1" s="1"/>
  <c r="B106" i="1"/>
  <c r="C106" i="1"/>
  <c r="C101" i="1" s="1"/>
  <c r="D106" i="1"/>
  <c r="F106" i="1"/>
  <c r="G106" i="1"/>
  <c r="G101" i="1" s="1"/>
  <c r="BX106" i="1"/>
  <c r="CG106" i="1" s="1"/>
  <c r="BZ106" i="1"/>
  <c r="AQ106" i="1" s="1"/>
  <c r="CD106" i="1"/>
  <c r="CD101" i="1" s="1"/>
  <c r="CK106" i="1"/>
  <c r="BB106" i="1" s="1"/>
  <c r="CL106" i="1"/>
  <c r="CL101" i="1" s="1"/>
  <c r="CM106" i="1"/>
  <c r="CM101" i="1" s="1"/>
  <c r="D136" i="1"/>
  <c r="D138" i="1"/>
  <c r="E138" i="1"/>
  <c r="Z138" i="1"/>
  <c r="AA138" i="1"/>
  <c r="AM138" i="1"/>
  <c r="AN138" i="1"/>
  <c r="BE138" i="1"/>
  <c r="BF138" i="1"/>
  <c r="BG138" i="1"/>
  <c r="BH138" i="1"/>
  <c r="BI138" i="1"/>
  <c r="BJ138" i="1"/>
  <c r="BK138" i="1"/>
  <c r="BL138" i="1"/>
  <c r="BM138" i="1"/>
  <c r="BN138" i="1"/>
  <c r="BO138" i="1"/>
  <c r="BP138" i="1"/>
  <c r="BQ138" i="1"/>
  <c r="BR138" i="1"/>
  <c r="BS138" i="1"/>
  <c r="BT138" i="1"/>
  <c r="BU138" i="1"/>
  <c r="BV138" i="1"/>
  <c r="BW138" i="1"/>
  <c r="CM138" i="1"/>
  <c r="CN138" i="1"/>
  <c r="CO138" i="1"/>
  <c r="CP138" i="1"/>
  <c r="CQ138" i="1"/>
  <c r="CR138" i="1"/>
  <c r="CS138" i="1"/>
  <c r="CT138" i="1"/>
  <c r="CU138" i="1"/>
  <c r="CV138" i="1"/>
  <c r="CW138" i="1"/>
  <c r="CX138" i="1"/>
  <c r="CY138" i="1"/>
  <c r="CZ138" i="1"/>
  <c r="DA138" i="1"/>
  <c r="DB138" i="1"/>
  <c r="DC138" i="1"/>
  <c r="DD138" i="1"/>
  <c r="DE138" i="1"/>
  <c r="DF138" i="1"/>
  <c r="DG138" i="1"/>
  <c r="DH138" i="1"/>
  <c r="DI138" i="1"/>
  <c r="DJ138" i="1"/>
  <c r="DK138" i="1"/>
  <c r="DL138" i="1"/>
  <c r="DM138" i="1"/>
  <c r="DN138" i="1"/>
  <c r="DO138" i="1"/>
  <c r="DP138" i="1"/>
  <c r="DQ138" i="1"/>
  <c r="DR138" i="1"/>
  <c r="DS138" i="1"/>
  <c r="DT138" i="1"/>
  <c r="DU138" i="1"/>
  <c r="DV138" i="1"/>
  <c r="DW138" i="1"/>
  <c r="DX138" i="1"/>
  <c r="DY138" i="1"/>
  <c r="DZ138" i="1"/>
  <c r="EA138" i="1"/>
  <c r="EB138" i="1"/>
  <c r="EC138" i="1"/>
  <c r="ED138" i="1"/>
  <c r="EE138" i="1"/>
  <c r="EF138" i="1"/>
  <c r="EG138" i="1"/>
  <c r="EH138" i="1"/>
  <c r="EI138" i="1"/>
  <c r="EJ138" i="1"/>
  <c r="EK138" i="1"/>
  <c r="EL138" i="1"/>
  <c r="EM138" i="1"/>
  <c r="EN138" i="1"/>
  <c r="EO138" i="1"/>
  <c r="EP138" i="1"/>
  <c r="EQ138" i="1"/>
  <c r="ER138" i="1"/>
  <c r="ES138" i="1"/>
  <c r="ET138" i="1"/>
  <c r="EU138" i="1"/>
  <c r="EV138" i="1"/>
  <c r="EW138" i="1"/>
  <c r="EX138" i="1"/>
  <c r="EY138" i="1"/>
  <c r="EZ138" i="1"/>
  <c r="FA138" i="1"/>
  <c r="FB138" i="1"/>
  <c r="FC138" i="1"/>
  <c r="FD138" i="1"/>
  <c r="FE138" i="1"/>
  <c r="FF138" i="1"/>
  <c r="FG138" i="1"/>
  <c r="FH138" i="1"/>
  <c r="FI138" i="1"/>
  <c r="FJ138" i="1"/>
  <c r="FK138" i="1"/>
  <c r="FL138" i="1"/>
  <c r="FM138" i="1"/>
  <c r="FN138" i="1"/>
  <c r="FO138" i="1"/>
  <c r="FP138" i="1"/>
  <c r="FQ138" i="1"/>
  <c r="FR138" i="1"/>
  <c r="FS138" i="1"/>
  <c r="FT138" i="1"/>
  <c r="FU138" i="1"/>
  <c r="FV138" i="1"/>
  <c r="FW138" i="1"/>
  <c r="FX138" i="1"/>
  <c r="FY138" i="1"/>
  <c r="FZ138" i="1"/>
  <c r="GA138" i="1"/>
  <c r="GB138" i="1"/>
  <c r="GC138" i="1"/>
  <c r="GD138" i="1"/>
  <c r="GE138" i="1"/>
  <c r="GF138" i="1"/>
  <c r="GG138" i="1"/>
  <c r="GH138" i="1"/>
  <c r="GI138" i="1"/>
  <c r="GJ138" i="1"/>
  <c r="GK138" i="1"/>
  <c r="GL138" i="1"/>
  <c r="GM138" i="1"/>
  <c r="GN138" i="1"/>
  <c r="GO138" i="1"/>
  <c r="GP138" i="1"/>
  <c r="GQ138" i="1"/>
  <c r="GR138" i="1"/>
  <c r="GS138" i="1"/>
  <c r="GT138" i="1"/>
  <c r="GU138" i="1"/>
  <c r="GV138" i="1"/>
  <c r="GW138" i="1"/>
  <c r="GX138" i="1"/>
  <c r="C140" i="1"/>
  <c r="D140" i="1"/>
  <c r="AC140" i="1"/>
  <c r="AE140" i="1"/>
  <c r="AD140" i="1" s="1"/>
  <c r="AB140" i="1" s="1"/>
  <c r="AF140" i="1"/>
  <c r="AG140" i="1"/>
  <c r="AH140" i="1"/>
  <c r="CV140" i="1" s="1"/>
  <c r="AI140" i="1"/>
  <c r="AJ140" i="1"/>
  <c r="CX140" i="1" s="1"/>
  <c r="CQ140" i="1"/>
  <c r="CR140" i="1"/>
  <c r="CU140" i="1"/>
  <c r="CW140" i="1"/>
  <c r="FR140" i="1"/>
  <c r="GL140" i="1"/>
  <c r="GN140" i="1"/>
  <c r="GO140" i="1"/>
  <c r="GV140" i="1"/>
  <c r="HC140" i="1" s="1"/>
  <c r="D141" i="1"/>
  <c r="AC141" i="1"/>
  <c r="AD141" i="1"/>
  <c r="AE141" i="1"/>
  <c r="AF141" i="1"/>
  <c r="CT141" i="1" s="1"/>
  <c r="AG141" i="1"/>
  <c r="CU141" i="1" s="1"/>
  <c r="AH141" i="1"/>
  <c r="CV141" i="1" s="1"/>
  <c r="AI141" i="1"/>
  <c r="AJ141" i="1"/>
  <c r="CR141" i="1"/>
  <c r="CS141" i="1"/>
  <c r="CW141" i="1"/>
  <c r="CX141" i="1"/>
  <c r="FR141" i="1"/>
  <c r="GL141" i="1"/>
  <c r="GN141" i="1"/>
  <c r="GO141" i="1"/>
  <c r="CC143" i="1" s="1"/>
  <c r="GV141" i="1"/>
  <c r="HC141" i="1"/>
  <c r="B143" i="1"/>
  <c r="B138" i="1" s="1"/>
  <c r="C143" i="1"/>
  <c r="C138" i="1" s="1"/>
  <c r="D143" i="1"/>
  <c r="F143" i="1"/>
  <c r="F138" i="1" s="1"/>
  <c r="G143" i="1"/>
  <c r="G138" i="1" s="1"/>
  <c r="AP143" i="1"/>
  <c r="BX143" i="1"/>
  <c r="AO143" i="1" s="1"/>
  <c r="BY143" i="1"/>
  <c r="BZ143" i="1"/>
  <c r="BZ138" i="1" s="1"/>
  <c r="CB143" i="1"/>
  <c r="CB138" i="1" s="1"/>
  <c r="CG143" i="1"/>
  <c r="CG138" i="1" s="1"/>
  <c r="CK143" i="1"/>
  <c r="CK138" i="1" s="1"/>
  <c r="CL143" i="1"/>
  <c r="CL138" i="1" s="1"/>
  <c r="CM143" i="1"/>
  <c r="BD143" i="1" s="1"/>
  <c r="B173" i="1"/>
  <c r="B26" i="1" s="1"/>
  <c r="C173" i="1"/>
  <c r="C26" i="1" s="1"/>
  <c r="D173" i="1"/>
  <c r="D26" i="1" s="1"/>
  <c r="F173" i="1"/>
  <c r="F26" i="1" s="1"/>
  <c r="G173" i="1"/>
  <c r="G26" i="1" s="1"/>
  <c r="B209" i="1"/>
  <c r="B22" i="1" s="1"/>
  <c r="C209" i="1"/>
  <c r="C22" i="1" s="1"/>
  <c r="D209" i="1"/>
  <c r="D22" i="1" s="1"/>
  <c r="F209" i="1"/>
  <c r="F22" i="1" s="1"/>
  <c r="G209" i="1"/>
  <c r="G22" i="1" s="1"/>
  <c r="B246" i="1"/>
  <c r="B18" i="1" s="1"/>
  <c r="C246" i="1"/>
  <c r="C18" i="1" s="1"/>
  <c r="D246" i="1"/>
  <c r="D18" i="1" s="1"/>
  <c r="F246" i="1"/>
  <c r="F18" i="1" s="1"/>
  <c r="G246" i="1"/>
  <c r="F276" i="1"/>
  <c r="P103" i="5" l="1"/>
  <c r="O177" i="5"/>
  <c r="H224" i="5" s="1"/>
  <c r="X177" i="5"/>
  <c r="O66" i="5"/>
  <c r="J140" i="5"/>
  <c r="P66" i="5"/>
  <c r="O140" i="5"/>
  <c r="P177" i="5"/>
  <c r="J66" i="5"/>
  <c r="H66" i="5"/>
  <c r="X140" i="5"/>
  <c r="G18" i="1"/>
  <c r="H103" i="5"/>
  <c r="O103" i="5"/>
  <c r="P140" i="5"/>
  <c r="H208" i="5"/>
  <c r="F152" i="1"/>
  <c r="AP138" i="1"/>
  <c r="F119" i="1"/>
  <c r="BB101" i="1"/>
  <c r="CI143" i="1"/>
  <c r="BY138" i="1"/>
  <c r="AJ106" i="1"/>
  <c r="AQ101" i="1"/>
  <c r="F116" i="1"/>
  <c r="AO138" i="1"/>
  <c r="F147" i="1"/>
  <c r="AG101" i="1"/>
  <c r="T106" i="1"/>
  <c r="AX106" i="1"/>
  <c r="CG101" i="1"/>
  <c r="CJ106" i="1"/>
  <c r="CP103" i="1"/>
  <c r="O103" i="1" s="1"/>
  <c r="AC106" i="1"/>
  <c r="F168" i="1"/>
  <c r="BD138" i="1"/>
  <c r="CC138" i="1"/>
  <c r="AT143" i="1"/>
  <c r="AB141" i="1"/>
  <c r="CQ141" i="1"/>
  <c r="AF106" i="1"/>
  <c r="CG30" i="1"/>
  <c r="AX69" i="1"/>
  <c r="AX143" i="1"/>
  <c r="AS143" i="1"/>
  <c r="AP106" i="1"/>
  <c r="CI106" i="1"/>
  <c r="BY101" i="1"/>
  <c r="Q106" i="1"/>
  <c r="AD101" i="1"/>
  <c r="V106" i="1"/>
  <c r="AI101" i="1"/>
  <c r="AH106" i="1"/>
  <c r="BC143" i="1"/>
  <c r="AO106" i="1"/>
  <c r="S104" i="1"/>
  <c r="CZ103" i="1"/>
  <c r="Y103" i="1" s="1"/>
  <c r="CP51" i="1"/>
  <c r="O51" i="1" s="1"/>
  <c r="CY50" i="1"/>
  <c r="X50" i="1" s="1"/>
  <c r="GN50" i="1" s="1"/>
  <c r="CZ50" i="1"/>
  <c r="Y50" i="1" s="1"/>
  <c r="BB143" i="1"/>
  <c r="BX138" i="1"/>
  <c r="BD106" i="1"/>
  <c r="AB104" i="1"/>
  <c r="R104" i="1"/>
  <c r="GK104" i="1" s="1"/>
  <c r="CY103" i="1"/>
  <c r="X103" i="1" s="1"/>
  <c r="CQ103" i="1"/>
  <c r="AD103" i="1"/>
  <c r="AB103" i="1" s="1"/>
  <c r="BZ101" i="1"/>
  <c r="Q64" i="1"/>
  <c r="R64" i="1"/>
  <c r="GK64" i="1" s="1"/>
  <c r="CP59" i="1"/>
  <c r="O59" i="1" s="1"/>
  <c r="BC106" i="1"/>
  <c r="AU106" i="1"/>
  <c r="Q61" i="1"/>
  <c r="R61" i="1"/>
  <c r="GK61" i="1" s="1"/>
  <c r="AD61" i="1"/>
  <c r="AB61" i="1" s="1"/>
  <c r="CS61" i="1"/>
  <c r="BZ30" i="1"/>
  <c r="AQ69" i="1"/>
  <c r="CY56" i="1"/>
  <c r="X56" i="1" s="1"/>
  <c r="CZ56" i="1"/>
  <c r="Y56" i="1" s="1"/>
  <c r="CT140" i="1"/>
  <c r="P104" i="1"/>
  <c r="CP104" i="1" s="1"/>
  <c r="O104" i="1" s="1"/>
  <c r="R103" i="1"/>
  <c r="BX101" i="1"/>
  <c r="CD30" i="1"/>
  <c r="AU69" i="1"/>
  <c r="T64" i="1"/>
  <c r="CP61" i="1"/>
  <c r="O61" i="1" s="1"/>
  <c r="CY59" i="1"/>
  <c r="X59" i="1" s="1"/>
  <c r="CZ59" i="1"/>
  <c r="Y59" i="1" s="1"/>
  <c r="AQ143" i="1"/>
  <c r="CS140" i="1"/>
  <c r="BY30" i="1"/>
  <c r="AP69" i="1"/>
  <c r="AB64" i="1"/>
  <c r="S64" i="1"/>
  <c r="CT64" i="1"/>
  <c r="CP63" i="1"/>
  <c r="O63" i="1" s="1"/>
  <c r="CR61" i="1"/>
  <c r="CK30" i="1"/>
  <c r="BB69" i="1"/>
  <c r="P58" i="1"/>
  <c r="CP58" i="1" s="1"/>
  <c r="O58" i="1" s="1"/>
  <c r="AB58" i="1"/>
  <c r="CQ58" i="1"/>
  <c r="BC69" i="1"/>
  <c r="CY63" i="1"/>
  <c r="X63" i="1" s="1"/>
  <c r="CZ63" i="1"/>
  <c r="Y63" i="1" s="1"/>
  <c r="CY58" i="1"/>
  <c r="X58" i="1" s="1"/>
  <c r="CZ58" i="1"/>
  <c r="Y58" i="1" s="1"/>
  <c r="CI69" i="1"/>
  <c r="AB67" i="1"/>
  <c r="S67" i="1"/>
  <c r="CT67" i="1"/>
  <c r="GX64" i="1"/>
  <c r="CC30" i="1"/>
  <c r="AT69" i="1"/>
  <c r="CP56" i="1"/>
  <c r="O56" i="1" s="1"/>
  <c r="P67" i="1"/>
  <c r="CP67" i="1" s="1"/>
  <c r="O67" i="1" s="1"/>
  <c r="S66" i="1"/>
  <c r="CS65" i="1"/>
  <c r="P64" i="1"/>
  <c r="CP64" i="1" s="1"/>
  <c r="O64" i="1" s="1"/>
  <c r="R63" i="1"/>
  <c r="GK63" i="1" s="1"/>
  <c r="CQ62" i="1"/>
  <c r="CT61" i="1"/>
  <c r="R59" i="1"/>
  <c r="GK59" i="1" s="1"/>
  <c r="P57" i="1"/>
  <c r="R56" i="1"/>
  <c r="GK56" i="1" s="1"/>
  <c r="CQ55" i="1"/>
  <c r="CS54" i="1"/>
  <c r="Q53" i="1"/>
  <c r="CQ51" i="1"/>
  <c r="CT50" i="1"/>
  <c r="P49" i="1"/>
  <c r="CP49" i="1" s="1"/>
  <c r="O49" i="1" s="1"/>
  <c r="U47" i="1"/>
  <c r="CY41" i="1"/>
  <c r="X41" i="1" s="1"/>
  <c r="CZ41" i="1"/>
  <c r="Y41" i="1" s="1"/>
  <c r="CY37" i="1"/>
  <c r="X37" i="1" s="1"/>
  <c r="GM37" i="1" s="1"/>
  <c r="CZ37" i="1"/>
  <c r="Y37" i="1" s="1"/>
  <c r="Q32" i="1"/>
  <c r="I33" i="1"/>
  <c r="S33" i="1" s="1"/>
  <c r="CX1" i="3"/>
  <c r="R66" i="1"/>
  <c r="GK66" i="1" s="1"/>
  <c r="S62" i="1"/>
  <c r="CT57" i="1"/>
  <c r="S55" i="1"/>
  <c r="P53" i="1"/>
  <c r="S51" i="1"/>
  <c r="CS50" i="1"/>
  <c r="Q42" i="1"/>
  <c r="CP42" i="1" s="1"/>
  <c r="O42" i="1" s="1"/>
  <c r="R42" i="1"/>
  <c r="GK42" i="1" s="1"/>
  <c r="CS42" i="1"/>
  <c r="P66" i="1"/>
  <c r="CP66" i="1" s="1"/>
  <c r="O66" i="1" s="1"/>
  <c r="S65" i="1"/>
  <c r="CT63" i="1"/>
  <c r="CQ61" i="1"/>
  <c r="CT59" i="1"/>
  <c r="R58" i="1"/>
  <c r="GK58" i="1" s="1"/>
  <c r="CT56" i="1"/>
  <c r="S54" i="1"/>
  <c r="CS53" i="1"/>
  <c r="CQ50" i="1"/>
  <c r="AD50" i="1"/>
  <c r="AB50" i="1" s="1"/>
  <c r="Q48" i="1"/>
  <c r="CP48" i="1" s="1"/>
  <c r="O48" i="1" s="1"/>
  <c r="Q47" i="1"/>
  <c r="CQ46" i="1"/>
  <c r="P46" i="1"/>
  <c r="CP46" i="1" s="1"/>
  <c r="O46" i="1" s="1"/>
  <c r="AB45" i="1"/>
  <c r="CQ45" i="1"/>
  <c r="P45" i="1"/>
  <c r="CP45" i="1" s="1"/>
  <c r="O45" i="1" s="1"/>
  <c r="S38" i="1"/>
  <c r="CT38" i="1"/>
  <c r="W32" i="1"/>
  <c r="S32" i="1"/>
  <c r="CT32" i="1"/>
  <c r="R65" i="1"/>
  <c r="GK65" i="1" s="1"/>
  <c r="R54" i="1"/>
  <c r="GK54" i="1" s="1"/>
  <c r="CZ53" i="1"/>
  <c r="Y53" i="1" s="1"/>
  <c r="CS49" i="1"/>
  <c r="Q38" i="1"/>
  <c r="CP38" i="1" s="1"/>
  <c r="O38" i="1" s="1"/>
  <c r="R38" i="1"/>
  <c r="GK38" i="1" s="1"/>
  <c r="AD38" i="1"/>
  <c r="AB38" i="1" s="1"/>
  <c r="AB35" i="1"/>
  <c r="R32" i="1"/>
  <c r="AD32" i="1"/>
  <c r="AO69" i="1"/>
  <c r="CS66" i="1"/>
  <c r="S57" i="1"/>
  <c r="CQ53" i="1"/>
  <c r="R50" i="1"/>
  <c r="GK50" i="1" s="1"/>
  <c r="GM50" i="1" s="1"/>
  <c r="AB47" i="1"/>
  <c r="CP47" i="1"/>
  <c r="O47" i="1" s="1"/>
  <c r="CS32" i="1"/>
  <c r="P32" i="1"/>
  <c r="BD69" i="1"/>
  <c r="R57" i="1"/>
  <c r="GK57" i="1" s="1"/>
  <c r="CY45" i="1"/>
  <c r="X45" i="1" s="1"/>
  <c r="CZ45" i="1"/>
  <c r="Y45" i="1" s="1"/>
  <c r="CT43" i="1"/>
  <c r="S43" i="1"/>
  <c r="CP43" i="1" s="1"/>
  <c r="O43" i="1" s="1"/>
  <c r="P39" i="1"/>
  <c r="CP39" i="1" s="1"/>
  <c r="O39" i="1" s="1"/>
  <c r="AB39" i="1"/>
  <c r="U32" i="1"/>
  <c r="Q41" i="1"/>
  <c r="CP41" i="1" s="1"/>
  <c r="O41" i="1" s="1"/>
  <c r="S40" i="1"/>
  <c r="AB37" i="1"/>
  <c r="R37" i="1"/>
  <c r="GK37" i="1" s="1"/>
  <c r="GN37" i="1" s="1"/>
  <c r="CS41" i="1"/>
  <c r="CQ38" i="1"/>
  <c r="CT37" i="1"/>
  <c r="CS34" i="1"/>
  <c r="CQ32" i="1"/>
  <c r="CS37" i="1"/>
  <c r="AB32" i="1"/>
  <c r="J193" i="5" l="1"/>
  <c r="H193" i="5"/>
  <c r="J224" i="5"/>
  <c r="CY33" i="1"/>
  <c r="X33" i="1" s="1"/>
  <c r="CZ33" i="1"/>
  <c r="Y33" i="1" s="1"/>
  <c r="GM48" i="1"/>
  <c r="GN48" i="1"/>
  <c r="GM42" i="1"/>
  <c r="GN42" i="1"/>
  <c r="GN41" i="1"/>
  <c r="GM41" i="1"/>
  <c r="CZ65" i="1"/>
  <c r="Y65" i="1" s="1"/>
  <c r="CY65" i="1"/>
  <c r="X65" i="1" s="1"/>
  <c r="CY40" i="1"/>
  <c r="X40" i="1" s="1"/>
  <c r="CZ40" i="1"/>
  <c r="Y40" i="1" s="1"/>
  <c r="W33" i="1"/>
  <c r="CY54" i="1"/>
  <c r="X54" i="1" s="1"/>
  <c r="CZ54" i="1"/>
  <c r="Y54" i="1" s="1"/>
  <c r="U33" i="1"/>
  <c r="CP53" i="1"/>
  <c r="O53" i="1" s="1"/>
  <c r="GM56" i="1"/>
  <c r="GN56" i="1"/>
  <c r="BB30" i="1"/>
  <c r="F82" i="1"/>
  <c r="BB173" i="1"/>
  <c r="AU30" i="1"/>
  <c r="F88" i="1"/>
  <c r="BC138" i="1"/>
  <c r="F159" i="1"/>
  <c r="CH106" i="1"/>
  <c r="P106" i="1"/>
  <c r="AC101" i="1"/>
  <c r="CE106" i="1"/>
  <c r="CF106" i="1"/>
  <c r="CY32" i="1"/>
  <c r="X32" i="1" s="1"/>
  <c r="CZ32" i="1"/>
  <c r="Y32" i="1" s="1"/>
  <c r="GN46" i="1"/>
  <c r="GM46" i="1"/>
  <c r="CZ55" i="1"/>
  <c r="Y55" i="1" s="1"/>
  <c r="CY55" i="1"/>
  <c r="X55" i="1" s="1"/>
  <c r="AT30" i="1"/>
  <c r="F87" i="1"/>
  <c r="CP65" i="1"/>
  <c r="O65" i="1" s="1"/>
  <c r="CP55" i="1"/>
  <c r="O55" i="1" s="1"/>
  <c r="AH101" i="1"/>
  <c r="U106" i="1"/>
  <c r="AZ106" i="1"/>
  <c r="CI101" i="1"/>
  <c r="AB106" i="1"/>
  <c r="CY57" i="1"/>
  <c r="X57" i="1" s="1"/>
  <c r="CZ57" i="1"/>
  <c r="Y57" i="1" s="1"/>
  <c r="AP101" i="1"/>
  <c r="F115" i="1"/>
  <c r="CJ101" i="1"/>
  <c r="BA106" i="1"/>
  <c r="F125" i="1"/>
  <c r="AU101" i="1"/>
  <c r="CP40" i="1"/>
  <c r="O40" i="1" s="1"/>
  <c r="T33" i="1"/>
  <c r="CZ62" i="1"/>
  <c r="Y62" i="1" s="1"/>
  <c r="CY62" i="1"/>
  <c r="X62" i="1" s="1"/>
  <c r="GM63" i="1"/>
  <c r="GN63" i="1"/>
  <c r="AQ138" i="1"/>
  <c r="F153" i="1"/>
  <c r="GK103" i="1"/>
  <c r="GM103" i="1" s="1"/>
  <c r="AE106" i="1"/>
  <c r="F122" i="1"/>
  <c r="BC101" i="1"/>
  <c r="CP62" i="1"/>
  <c r="O62" i="1" s="1"/>
  <c r="F160" i="1"/>
  <c r="AS138" i="1"/>
  <c r="W106" i="1"/>
  <c r="AJ101" i="1"/>
  <c r="BD30" i="1"/>
  <c r="F94" i="1"/>
  <c r="BD173" i="1"/>
  <c r="AK106" i="1"/>
  <c r="V33" i="1"/>
  <c r="CY66" i="1"/>
  <c r="X66" i="1" s="1"/>
  <c r="CZ66" i="1"/>
  <c r="Y66" i="1" s="1"/>
  <c r="GN66" i="1" s="1"/>
  <c r="BC30" i="1"/>
  <c r="F85" i="1"/>
  <c r="BC173" i="1"/>
  <c r="AQ30" i="1"/>
  <c r="F79" i="1"/>
  <c r="AQ173" i="1"/>
  <c r="GM59" i="1"/>
  <c r="GN59" i="1"/>
  <c r="AX138" i="1"/>
  <c r="F150" i="1"/>
  <c r="AT138" i="1"/>
  <c r="F161" i="1"/>
  <c r="AX101" i="1"/>
  <c r="F113" i="1"/>
  <c r="CP32" i="1"/>
  <c r="O32" i="1" s="1"/>
  <c r="AO30" i="1"/>
  <c r="AO173" i="1"/>
  <c r="F73" i="1"/>
  <c r="CY38" i="1"/>
  <c r="X38" i="1" s="1"/>
  <c r="GM38" i="1" s="1"/>
  <c r="CZ38" i="1"/>
  <c r="Y38" i="1" s="1"/>
  <c r="CY43" i="1"/>
  <c r="X43" i="1" s="1"/>
  <c r="GM43" i="1" s="1"/>
  <c r="CZ43" i="1"/>
  <c r="Y43" i="1" s="1"/>
  <c r="CP57" i="1"/>
  <c r="O57" i="1" s="1"/>
  <c r="CY67" i="1"/>
  <c r="X67" i="1" s="1"/>
  <c r="CZ67" i="1"/>
  <c r="Y67" i="1" s="1"/>
  <c r="GM67" i="1" s="1"/>
  <c r="CY64" i="1"/>
  <c r="X64" i="1" s="1"/>
  <c r="GM64" i="1" s="1"/>
  <c r="CZ64" i="1"/>
  <c r="Y64" i="1" s="1"/>
  <c r="GN104" i="1"/>
  <c r="CB106" i="1" s="1"/>
  <c r="BD101" i="1"/>
  <c r="F131" i="1"/>
  <c r="CY104" i="1"/>
  <c r="X104" i="1" s="1"/>
  <c r="CZ104" i="1"/>
  <c r="Y104" i="1" s="1"/>
  <c r="AL106" i="1" s="1"/>
  <c r="F129" i="1"/>
  <c r="V101" i="1"/>
  <c r="AX30" i="1"/>
  <c r="F76" i="1"/>
  <c r="AX173" i="1"/>
  <c r="F127" i="1"/>
  <c r="T101" i="1"/>
  <c r="GM45" i="1"/>
  <c r="GN45" i="1"/>
  <c r="GM49" i="1"/>
  <c r="GN49" i="1"/>
  <c r="GM61" i="1"/>
  <c r="GN61" i="1"/>
  <c r="AO101" i="1"/>
  <c r="F110" i="1"/>
  <c r="GM47" i="1"/>
  <c r="GN47" i="1"/>
  <c r="GK32" i="1"/>
  <c r="CX4" i="3"/>
  <c r="I35" i="1"/>
  <c r="CX3" i="3"/>
  <c r="CX2" i="3"/>
  <c r="GX33" i="1"/>
  <c r="P33" i="1"/>
  <c r="CP33" i="1" s="1"/>
  <c r="O33" i="1" s="1"/>
  <c r="I34" i="1"/>
  <c r="Q33" i="1"/>
  <c r="R33" i="1"/>
  <c r="GK33" i="1" s="1"/>
  <c r="GM39" i="1"/>
  <c r="GN39" i="1"/>
  <c r="GM66" i="1"/>
  <c r="CZ51" i="1"/>
  <c r="Y51" i="1" s="1"/>
  <c r="GM51" i="1" s="1"/>
  <c r="CY51" i="1"/>
  <c r="X51" i="1" s="1"/>
  <c r="GN51" i="1" s="1"/>
  <c r="CP54" i="1"/>
  <c r="O54" i="1" s="1"/>
  <c r="CI30" i="1"/>
  <c r="AZ69" i="1"/>
  <c r="GM58" i="1"/>
  <c r="GN58" i="1"/>
  <c r="AP30" i="1"/>
  <c r="F78" i="1"/>
  <c r="AP173" i="1"/>
  <c r="BB138" i="1"/>
  <c r="F156" i="1"/>
  <c r="Q101" i="1"/>
  <c r="F118" i="1"/>
  <c r="AF101" i="1"/>
  <c r="S106" i="1"/>
  <c r="CI138" i="1"/>
  <c r="AZ143" i="1"/>
  <c r="Y106" i="1" l="1"/>
  <c r="AL101" i="1"/>
  <c r="AZ30" i="1"/>
  <c r="F80" i="1"/>
  <c r="AZ173" i="1"/>
  <c r="GN67" i="1"/>
  <c r="AO26" i="1"/>
  <c r="F177" i="1"/>
  <c r="AO209" i="1"/>
  <c r="AQ26" i="1"/>
  <c r="F183" i="1"/>
  <c r="AQ209" i="1"/>
  <c r="AI69" i="1"/>
  <c r="GM55" i="1"/>
  <c r="GN55" i="1"/>
  <c r="AY106" i="1"/>
  <c r="CH101" i="1"/>
  <c r="Q35" i="1"/>
  <c r="CX5" i="3"/>
  <c r="S35" i="1"/>
  <c r="T35" i="1"/>
  <c r="I140" i="1"/>
  <c r="W35" i="1"/>
  <c r="U35" i="1"/>
  <c r="R35" i="1"/>
  <c r="GK35" i="1" s="1"/>
  <c r="V35" i="1"/>
  <c r="GX35" i="1"/>
  <c r="P35" i="1"/>
  <c r="CP35" i="1" s="1"/>
  <c r="O35" i="1" s="1"/>
  <c r="AX26" i="1"/>
  <c r="F180" i="1"/>
  <c r="AX209" i="1"/>
  <c r="X106" i="1"/>
  <c r="AK101" i="1"/>
  <c r="F126" i="1"/>
  <c r="BA101" i="1"/>
  <c r="GO103" i="1"/>
  <c r="CC106" i="1" s="1"/>
  <c r="GM65" i="1"/>
  <c r="GN65" i="1"/>
  <c r="GM57" i="1"/>
  <c r="GN57" i="1"/>
  <c r="GM62" i="1"/>
  <c r="GN62" i="1"/>
  <c r="AP26" i="1"/>
  <c r="F182" i="1"/>
  <c r="AP209" i="1"/>
  <c r="GM32" i="1"/>
  <c r="GN32" i="1"/>
  <c r="BC26" i="1"/>
  <c r="BC209" i="1"/>
  <c r="F189" i="1"/>
  <c r="GN53" i="1"/>
  <c r="GM53" i="1"/>
  <c r="GM54" i="1"/>
  <c r="GN54" i="1"/>
  <c r="BD26" i="1"/>
  <c r="BD209" i="1"/>
  <c r="F198" i="1"/>
  <c r="O106" i="1"/>
  <c r="AB101" i="1"/>
  <c r="AZ138" i="1"/>
  <c r="F154" i="1"/>
  <c r="GM104" i="1"/>
  <c r="CA106" i="1" s="1"/>
  <c r="Q34" i="1"/>
  <c r="AD69" i="1" s="1"/>
  <c r="P34" i="1"/>
  <c r="W34" i="1"/>
  <c r="AJ69" i="1" s="1"/>
  <c r="GX34" i="1"/>
  <c r="S34" i="1"/>
  <c r="U34" i="1"/>
  <c r="AH69" i="1" s="1"/>
  <c r="R34" i="1"/>
  <c r="GK34" i="1" s="1"/>
  <c r="V34" i="1"/>
  <c r="T34" i="1"/>
  <c r="GN64" i="1"/>
  <c r="CF101" i="1"/>
  <c r="AW106" i="1"/>
  <c r="GN43" i="1"/>
  <c r="GN38" i="1"/>
  <c r="CB101" i="1"/>
  <c r="AS106" i="1"/>
  <c r="S101" i="1"/>
  <c r="F121" i="1"/>
  <c r="GM33" i="1"/>
  <c r="GN33" i="1"/>
  <c r="R106" i="1"/>
  <c r="AE101" i="1"/>
  <c r="AG69" i="1"/>
  <c r="F117" i="1"/>
  <c r="AZ101" i="1"/>
  <c r="CE101" i="1"/>
  <c r="AV106" i="1"/>
  <c r="CJ69" i="1"/>
  <c r="BB26" i="1"/>
  <c r="F186" i="1"/>
  <c r="BB209" i="1"/>
  <c r="GM40" i="1"/>
  <c r="GN40" i="1"/>
  <c r="F128" i="1"/>
  <c r="U101" i="1"/>
  <c r="F130" i="1"/>
  <c r="W101" i="1"/>
  <c r="P101" i="1"/>
  <c r="F109" i="1"/>
  <c r="AR106" i="1" l="1"/>
  <c r="CA101" i="1"/>
  <c r="BB22" i="1"/>
  <c r="F222" i="1"/>
  <c r="BB246" i="1"/>
  <c r="CY34" i="1"/>
  <c r="X34" i="1" s="1"/>
  <c r="AK69" i="1" s="1"/>
  <c r="CZ34" i="1"/>
  <c r="Y34" i="1" s="1"/>
  <c r="AF69" i="1"/>
  <c r="AX22" i="1"/>
  <c r="AX246" i="1"/>
  <c r="F216" i="1"/>
  <c r="CJ30" i="1"/>
  <c r="BA69" i="1"/>
  <c r="AW101" i="1"/>
  <c r="F112" i="1"/>
  <c r="AP22" i="1"/>
  <c r="AP246" i="1"/>
  <c r="F218" i="1"/>
  <c r="G16" i="2" s="1"/>
  <c r="G18" i="2" s="1"/>
  <c r="CX90" i="3"/>
  <c r="V140" i="1"/>
  <c r="Q140" i="1"/>
  <c r="I141" i="1"/>
  <c r="P140" i="1"/>
  <c r="GX140" i="1"/>
  <c r="R140" i="1"/>
  <c r="T140" i="1"/>
  <c r="U140" i="1"/>
  <c r="S140" i="1"/>
  <c r="W140" i="1"/>
  <c r="R101" i="1"/>
  <c r="F120" i="1"/>
  <c r="AI30" i="1"/>
  <c r="V69" i="1"/>
  <c r="AZ26" i="1"/>
  <c r="AZ209" i="1"/>
  <c r="F184" i="1"/>
  <c r="AJ30" i="1"/>
  <c r="W69" i="1"/>
  <c r="CC101" i="1"/>
  <c r="AT106" i="1"/>
  <c r="CZ35" i="1"/>
  <c r="Y35" i="1" s="1"/>
  <c r="GM35" i="1" s="1"/>
  <c r="CY35" i="1"/>
  <c r="X35" i="1" s="1"/>
  <c r="GN35" i="1" s="1"/>
  <c r="AQ22" i="1"/>
  <c r="AQ246" i="1"/>
  <c r="F219" i="1"/>
  <c r="AV101" i="1"/>
  <c r="F111" i="1"/>
  <c r="AD30" i="1"/>
  <c r="Q69" i="1"/>
  <c r="BD22" i="1"/>
  <c r="F234" i="1"/>
  <c r="BD246" i="1"/>
  <c r="BC22" i="1"/>
  <c r="F225" i="1"/>
  <c r="BC246" i="1"/>
  <c r="O101" i="1"/>
  <c r="F108" i="1"/>
  <c r="CP34" i="1"/>
  <c r="O34" i="1" s="1"/>
  <c r="AC69" i="1"/>
  <c r="AS101" i="1"/>
  <c r="F123" i="1"/>
  <c r="T69" i="1"/>
  <c r="AG30" i="1"/>
  <c r="AE69" i="1"/>
  <c r="AO22" i="1"/>
  <c r="F213" i="1"/>
  <c r="AO246" i="1"/>
  <c r="F133" i="1"/>
  <c r="Y101" i="1"/>
  <c r="AH30" i="1"/>
  <c r="U69" i="1"/>
  <c r="X101" i="1"/>
  <c r="F132" i="1"/>
  <c r="AY101" i="1"/>
  <c r="F114" i="1"/>
  <c r="CP140" i="1" l="1"/>
  <c r="O140" i="1" s="1"/>
  <c r="S69" i="1"/>
  <c r="AF30" i="1"/>
  <c r="BD18" i="1"/>
  <c r="F271" i="1"/>
  <c r="AQ18" i="1"/>
  <c r="F256" i="1"/>
  <c r="W30" i="1"/>
  <c r="F93" i="1"/>
  <c r="Q141" i="1"/>
  <c r="AD143" i="1" s="1"/>
  <c r="R141" i="1"/>
  <c r="V141" i="1"/>
  <c r="S141" i="1"/>
  <c r="GX141" i="1"/>
  <c r="W141" i="1"/>
  <c r="T141" i="1"/>
  <c r="U141" i="1"/>
  <c r="P141" i="1"/>
  <c r="CP141" i="1" s="1"/>
  <c r="O141" i="1" s="1"/>
  <c r="AL69" i="1"/>
  <c r="AK30" i="1"/>
  <c r="X69" i="1"/>
  <c r="GN34" i="1"/>
  <c r="CB69" i="1" s="1"/>
  <c r="GM34" i="1"/>
  <c r="CA69" i="1" s="1"/>
  <c r="AB69" i="1"/>
  <c r="CY140" i="1"/>
  <c r="X140" i="1" s="1"/>
  <c r="CZ140" i="1"/>
  <c r="Y140" i="1" s="1"/>
  <c r="AF143" i="1"/>
  <c r="AI143" i="1"/>
  <c r="BB18" i="1"/>
  <c r="F259" i="1"/>
  <c r="AZ22" i="1"/>
  <c r="AZ246" i="1"/>
  <c r="F220" i="1"/>
  <c r="AH143" i="1"/>
  <c r="AC30" i="1"/>
  <c r="CE69" i="1"/>
  <c r="P69" i="1"/>
  <c r="CF69" i="1"/>
  <c r="CH69" i="1"/>
  <c r="BA30" i="1"/>
  <c r="F89" i="1"/>
  <c r="AE30" i="1"/>
  <c r="R69" i="1"/>
  <c r="AG143" i="1"/>
  <c r="AX18" i="1"/>
  <c r="F253" i="1"/>
  <c r="AO18" i="1"/>
  <c r="F250" i="1"/>
  <c r="AJ143" i="1"/>
  <c r="Q30" i="1"/>
  <c r="F81" i="1"/>
  <c r="U30" i="1"/>
  <c r="F91" i="1"/>
  <c r="BC18" i="1"/>
  <c r="F262" i="1"/>
  <c r="V30" i="1"/>
  <c r="F92" i="1"/>
  <c r="AE143" i="1"/>
  <c r="AP18" i="1"/>
  <c r="F255" i="1"/>
  <c r="T30" i="1"/>
  <c r="F90" i="1"/>
  <c r="AT101" i="1"/>
  <c r="F124" i="1"/>
  <c r="AT173" i="1"/>
  <c r="CJ143" i="1"/>
  <c r="F134" i="1"/>
  <c r="F239" i="1" s="1"/>
  <c r="AR101" i="1"/>
  <c r="AD138" i="1" l="1"/>
  <c r="Q143" i="1"/>
  <c r="CB30" i="1"/>
  <c r="AS69" i="1"/>
  <c r="T143" i="1"/>
  <c r="AG138" i="1"/>
  <c r="R30" i="1"/>
  <c r="F83" i="1"/>
  <c r="CE30" i="1"/>
  <c r="AV69" i="1"/>
  <c r="X30" i="1"/>
  <c r="F95" i="1"/>
  <c r="CY141" i="1"/>
  <c r="X141" i="1" s="1"/>
  <c r="AK143" i="1" s="1"/>
  <c r="CZ141" i="1"/>
  <c r="Y141" i="1" s="1"/>
  <c r="P30" i="1"/>
  <c r="F72" i="1"/>
  <c r="AI138" i="1"/>
  <c r="V143" i="1"/>
  <c r="U143" i="1"/>
  <c r="AH138" i="1"/>
  <c r="AF138" i="1"/>
  <c r="S143" i="1"/>
  <c r="AL30" i="1"/>
  <c r="Y69" i="1"/>
  <c r="W143" i="1"/>
  <c r="AJ138" i="1"/>
  <c r="AL143" i="1"/>
  <c r="AZ18" i="1"/>
  <c r="F257" i="1"/>
  <c r="S30" i="1"/>
  <c r="F84" i="1"/>
  <c r="S173" i="1"/>
  <c r="CH30" i="1"/>
  <c r="AY69" i="1"/>
  <c r="AB30" i="1"/>
  <c r="O69" i="1"/>
  <c r="AC143" i="1"/>
  <c r="CJ138" i="1"/>
  <c r="BA143" i="1"/>
  <c r="AT26" i="1"/>
  <c r="F191" i="1"/>
  <c r="AT209" i="1"/>
  <c r="AE138" i="1"/>
  <c r="R143" i="1"/>
  <c r="CF30" i="1"/>
  <c r="AW69" i="1"/>
  <c r="CA30" i="1"/>
  <c r="AR69" i="1"/>
  <c r="GP140" i="1"/>
  <c r="AB143" i="1"/>
  <c r="GM140" i="1"/>
  <c r="X143" i="1" l="1"/>
  <c r="AK138" i="1"/>
  <c r="AT22" i="1"/>
  <c r="AT246" i="1"/>
  <c r="F227" i="1"/>
  <c r="F16" i="2" s="1"/>
  <c r="F18" i="2" s="1"/>
  <c r="AY30" i="1"/>
  <c r="F77" i="1"/>
  <c r="S26" i="1"/>
  <c r="F188" i="1"/>
  <c r="S209" i="1"/>
  <c r="W138" i="1"/>
  <c r="F167" i="1"/>
  <c r="W173" i="1"/>
  <c r="U138" i="1"/>
  <c r="F165" i="1"/>
  <c r="U173" i="1"/>
  <c r="CD143" i="1"/>
  <c r="V138" i="1"/>
  <c r="F166" i="1"/>
  <c r="V173" i="1"/>
  <c r="F164" i="1"/>
  <c r="T138" i="1"/>
  <c r="T173" i="1"/>
  <c r="GP141" i="1"/>
  <c r="GM141" i="1"/>
  <c r="AS30" i="1"/>
  <c r="AS173" i="1"/>
  <c r="F86" i="1"/>
  <c r="CE143" i="1"/>
  <c r="CF143" i="1"/>
  <c r="CH143" i="1"/>
  <c r="P143" i="1"/>
  <c r="AC138" i="1"/>
  <c r="AV30" i="1"/>
  <c r="F74" i="1"/>
  <c r="AL138" i="1"/>
  <c r="Y143" i="1"/>
  <c r="AW30" i="1"/>
  <c r="F75" i="1"/>
  <c r="Y30" i="1"/>
  <c r="F96" i="1"/>
  <c r="R138" i="1"/>
  <c r="F157" i="1"/>
  <c r="O30" i="1"/>
  <c r="F71" i="1"/>
  <c r="Q138" i="1"/>
  <c r="F155" i="1"/>
  <c r="Q173" i="1"/>
  <c r="O143" i="1"/>
  <c r="AB138" i="1"/>
  <c r="AR30" i="1"/>
  <c r="F97" i="1"/>
  <c r="F163" i="1"/>
  <c r="BA138" i="1"/>
  <c r="BA173" i="1"/>
  <c r="CA143" i="1"/>
  <c r="S138" i="1"/>
  <c r="F158" i="1"/>
  <c r="R173" i="1"/>
  <c r="Y138" i="1" l="1"/>
  <c r="F170" i="1"/>
  <c r="AV143" i="1"/>
  <c r="CE138" i="1"/>
  <c r="W26" i="1"/>
  <c r="F197" i="1"/>
  <c r="W209" i="1"/>
  <c r="BA26" i="1"/>
  <c r="F193" i="1"/>
  <c r="BA209" i="1"/>
  <c r="AS26" i="1"/>
  <c r="F190" i="1"/>
  <c r="AS209" i="1"/>
  <c r="AT18" i="1"/>
  <c r="F264" i="1"/>
  <c r="CA138" i="1"/>
  <c r="AR143" i="1"/>
  <c r="Y173" i="1"/>
  <c r="S22" i="1"/>
  <c r="S246" i="1"/>
  <c r="F224" i="1"/>
  <c r="J16" i="2" s="1"/>
  <c r="J18" i="2" s="1"/>
  <c r="T26" i="1"/>
  <c r="F194" i="1"/>
  <c r="T209" i="1"/>
  <c r="AW143" i="1"/>
  <c r="CF138" i="1"/>
  <c r="Q26" i="1"/>
  <c r="Q209" i="1"/>
  <c r="F185" i="1"/>
  <c r="V26" i="1"/>
  <c r="F196" i="1"/>
  <c r="V209" i="1"/>
  <c r="CD138" i="1"/>
  <c r="AU143" i="1"/>
  <c r="CH138" i="1"/>
  <c r="AY143" i="1"/>
  <c r="F145" i="1"/>
  <c r="O138" i="1"/>
  <c r="O173" i="1"/>
  <c r="R26" i="1"/>
  <c r="F187" i="1"/>
  <c r="R209" i="1"/>
  <c r="F238" i="1"/>
  <c r="F202" i="1"/>
  <c r="P138" i="1"/>
  <c r="F146" i="1"/>
  <c r="P173" i="1"/>
  <c r="U26" i="1"/>
  <c r="F195" i="1"/>
  <c r="U209" i="1"/>
  <c r="X138" i="1"/>
  <c r="F169" i="1"/>
  <c r="X173" i="1"/>
  <c r="T22" i="1" l="1"/>
  <c r="F230" i="1"/>
  <c r="T246" i="1"/>
  <c r="W22" i="1"/>
  <c r="W246" i="1"/>
  <c r="F233" i="1"/>
  <c r="O26" i="1"/>
  <c r="F175" i="1"/>
  <c r="O209" i="1"/>
  <c r="AS22" i="1"/>
  <c r="F226" i="1"/>
  <c r="E16" i="2" s="1"/>
  <c r="AS246" i="1"/>
  <c r="Q22" i="1"/>
  <c r="F221" i="1"/>
  <c r="Q246" i="1"/>
  <c r="P26" i="1"/>
  <c r="F176" i="1"/>
  <c r="P209" i="1"/>
  <c r="F203" i="1"/>
  <c r="S18" i="1"/>
  <c r="F261" i="1"/>
  <c r="R22" i="1"/>
  <c r="R246" i="1"/>
  <c r="F223" i="1"/>
  <c r="Y26" i="1"/>
  <c r="Y209" i="1"/>
  <c r="F200" i="1"/>
  <c r="BA22" i="1"/>
  <c r="F229" i="1"/>
  <c r="BA246" i="1"/>
  <c r="V22" i="1"/>
  <c r="F232" i="1"/>
  <c r="V246" i="1"/>
  <c r="X26" i="1"/>
  <c r="F199" i="1"/>
  <c r="X209" i="1"/>
  <c r="AY138" i="1"/>
  <c r="F151" i="1"/>
  <c r="AY173" i="1"/>
  <c r="F240" i="1"/>
  <c r="AV138" i="1"/>
  <c r="F148" i="1"/>
  <c r="AV173" i="1"/>
  <c r="U22" i="1"/>
  <c r="F231" i="1"/>
  <c r="U246" i="1"/>
  <c r="AU138" i="1"/>
  <c r="F162" i="1"/>
  <c r="AU173" i="1"/>
  <c r="AW138" i="1"/>
  <c r="F149" i="1"/>
  <c r="AW173" i="1"/>
  <c r="F171" i="1"/>
  <c r="AR138" i="1"/>
  <c r="AR173" i="1"/>
  <c r="R18" i="1" l="1"/>
  <c r="F260" i="1"/>
  <c r="U18" i="1"/>
  <c r="F268" i="1"/>
  <c r="Q18" i="1"/>
  <c r="F258" i="1"/>
  <c r="AW26" i="1"/>
  <c r="F179" i="1"/>
  <c r="AW209" i="1"/>
  <c r="AV26" i="1"/>
  <c r="AV209" i="1"/>
  <c r="F178" i="1"/>
  <c r="X22" i="1"/>
  <c r="X246" i="1"/>
  <c r="F235" i="1"/>
  <c r="W18" i="1"/>
  <c r="F270" i="1"/>
  <c r="F241" i="1"/>
  <c r="F242" i="1" s="1"/>
  <c r="F243" i="1" s="1"/>
  <c r="F244" i="1" s="1"/>
  <c r="F204" i="1"/>
  <c r="F205" i="1" s="1"/>
  <c r="F206" i="1" s="1"/>
  <c r="F207" i="1" s="1"/>
  <c r="BA18" i="1"/>
  <c r="F266" i="1"/>
  <c r="AS18" i="1"/>
  <c r="F263" i="1"/>
  <c r="AY26" i="1"/>
  <c r="AY209" i="1"/>
  <c r="F181" i="1"/>
  <c r="E18" i="2"/>
  <c r="V18" i="1"/>
  <c r="F269" i="1"/>
  <c r="P22" i="1"/>
  <c r="F212" i="1"/>
  <c r="P246" i="1"/>
  <c r="AU26" i="1"/>
  <c r="F192" i="1"/>
  <c r="AU209" i="1"/>
  <c r="Y22" i="1"/>
  <c r="Y246" i="1"/>
  <c r="F236" i="1"/>
  <c r="T18" i="1"/>
  <c r="F267" i="1"/>
  <c r="AR26" i="1"/>
  <c r="AR209" i="1"/>
  <c r="F201" i="1"/>
  <c r="O22" i="1"/>
  <c r="O246" i="1"/>
  <c r="F211" i="1"/>
  <c r="X18" i="1" l="1"/>
  <c r="F272" i="1"/>
  <c r="AV22" i="1"/>
  <c r="F214" i="1"/>
  <c r="AV246" i="1"/>
  <c r="Y18" i="1"/>
  <c r="F273" i="1"/>
  <c r="AU22" i="1"/>
  <c r="F228" i="1"/>
  <c r="H16" i="2" s="1"/>
  <c r="AU246" i="1"/>
  <c r="P18" i="1"/>
  <c r="F249" i="1"/>
  <c r="AW22" i="1"/>
  <c r="AW246" i="1"/>
  <c r="F215" i="1"/>
  <c r="AY22" i="1"/>
  <c r="F217" i="1"/>
  <c r="AY246" i="1"/>
  <c r="O18" i="1"/>
  <c r="F248" i="1"/>
  <c r="AR22" i="1"/>
  <c r="F237" i="1"/>
  <c r="AR246" i="1"/>
  <c r="AR18" i="1" l="1"/>
  <c r="F274" i="1"/>
  <c r="AW18" i="1"/>
  <c r="F252" i="1"/>
  <c r="AY18" i="1"/>
  <c r="F254" i="1"/>
  <c r="AU18" i="1"/>
  <c r="F265" i="1"/>
  <c r="AV18" i="1"/>
  <c r="F251" i="1"/>
  <c r="H18" i="2"/>
  <c r="I16" i="2"/>
  <c r="I18" i="2" s="1"/>
</calcChain>
</file>

<file path=xl/sharedStrings.xml><?xml version="1.0" encoding="utf-8"?>
<sst xmlns="http://schemas.openxmlformats.org/spreadsheetml/2006/main" count="3516" uniqueCount="311">
  <si>
    <t>Smeta.RU  (495) 974-1589</t>
  </si>
  <si>
    <t>_PS_</t>
  </si>
  <si>
    <t>Smeta.RU</t>
  </si>
  <si>
    <t>ООО "Инженерные коммуникации СТОУН"  Доп. раб. место  MCCS-0028578</t>
  </si>
  <si>
    <t>3 проект Строительство РП-1, 2КЛ-10кВ от ПС "Павелецкая" до_(Копия)</t>
  </si>
  <si>
    <t>ГНБ 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t>
  </si>
  <si>
    <t/>
  </si>
  <si>
    <t>50-2016-ЭС-2-ГНБ</t>
  </si>
  <si>
    <t>Калинкина А.А.</t>
  </si>
  <si>
    <t>Инженер-сметчик I категории</t>
  </si>
  <si>
    <t>Гапченко И.В.</t>
  </si>
  <si>
    <t>Генеральный директор</t>
  </si>
  <si>
    <t>ООО "Энергии Технологии", 127254, город Москва, Огородный проезд, дом.16, строение 17, комната 306,307,310</t>
  </si>
  <si>
    <t>Захарченко Н.Н.</t>
  </si>
  <si>
    <t>ООО «Инженерные коммуникации СТОУН», 141101, область Московская, район Щёлковский, город Щёлково, улица Заводская, дом 2, корпус 305А, помещение 28</t>
  </si>
  <si>
    <t>ООО "Энергоблок", 125373, г. Москва, ул. Окружная, д.10А, оф. 5Н</t>
  </si>
  <si>
    <t>ООО "Инженерные коммуникации СТОУН", 141101, область Московская, район Щёлковский, город Щёлково, улица Заводская, дом 2, корпус 305А, помещение 28</t>
  </si>
  <si>
    <t>ГУП «МГЦАЖ»</t>
  </si>
  <si>
    <t>Сметные нормы списания</t>
  </si>
  <si>
    <t>Коды ОКП для ТСН-2001 МГЭ</t>
  </si>
  <si>
    <t>ТСН-2001 (МГЭ) - Новое строительство</t>
  </si>
  <si>
    <t>Типовой расчет Smeta.ru вер. 10 для ТСН-2001 МГЭ (Строительство), Доп 53 (от 01.08.2018 г.)</t>
  </si>
  <si>
    <t>Территориальные сметные нормативы для Москвы ТСН-2001 (МГЭ)</t>
  </si>
  <si>
    <t>Поправки для ТСН-2001 от 06.05.2019 г.</t>
  </si>
  <si>
    <t>3</t>
  </si>
  <si>
    <t>Строительство закрытых переходов при прокладке КЛ-20кВ</t>
  </si>
  <si>
    <t>Новый раздел</t>
  </si>
  <si>
    <t>ГНБ</t>
  </si>
  <si>
    <t>Новый подраздел</t>
  </si>
  <si>
    <t>Строительные работы</t>
  </si>
  <si>
    <t>1</t>
  </si>
  <si>
    <t>3.1-51-1</t>
  </si>
  <si>
    <t>Разработка грунта вручную в траншеях глубиной до 2 м без креплений с откосами группа грунтов 1-3</t>
  </si>
  <si>
    <t>100 м3 грунта</t>
  </si>
  <si>
    <t>ТСН-2001.3. Доп. 1-42. Сб. 1, т. 51, поз. 1</t>
  </si>
  <si>
    <t>ТСН-2001.3-1. 1-49...1-55</t>
  </si>
  <si>
    <t>ТСН-2001.3-1-15</t>
  </si>
  <si>
    <t>3.1-53-1</t>
  </si>
  <si>
    <t>Засыпка вручную траншей, пазух котлованов и ям группа грунтов 1-3</t>
  </si>
  <si>
    <t>ТСН-2001.3. Доп. 1-42. Сб. 1, т. 53, поз. 1</t>
  </si>
  <si>
    <t>4</t>
  </si>
  <si>
    <t>1.1-1-766</t>
  </si>
  <si>
    <t>Песок для строительных работ, рядовой</t>
  </si>
  <si>
    <t>м3</t>
  </si>
  <si>
    <t>ТСН-2001.1. Доп. 1-42. Р. 1, о. 1, поз. 766</t>
  </si>
  <si>
    <t>Материалы строительные</t>
  </si>
  <si>
    <t>ТСН-2001.1 Материалы строительные</t>
  </si>
  <si>
    <t>ТСН-2001.1-1</t>
  </si>
  <si>
    <t>5</t>
  </si>
  <si>
    <t>6.51-6-1</t>
  </si>
  <si>
    <t>Погрузка грунта вручную в автомобили-самосвалы с выгрузкой</t>
  </si>
  <si>
    <t>ТСН-2001.6. Доп. 1-42. Сб. 51, т. 6, поз. 1</t>
  </si>
  <si>
    <t>Ремонтно-строительные работы</t>
  </si>
  <si>
    <t>ТСН-2001.6-51. 51-6</t>
  </si>
  <si>
    <t>ТСН-2001.6-51-4</t>
  </si>
  <si>
    <t>ЗП№4 62мх1скв.х3тр.</t>
  </si>
  <si>
    <t>6</t>
  </si>
  <si>
    <t>3.4-21-2</t>
  </si>
  <si>
    <t>Монтаж установки горизонтально направленного бурения с тяговым усилием до 500 кН</t>
  </si>
  <si>
    <t>1  ШТ.</t>
  </si>
  <si>
    <t>ТСН-2001.3 Доп. 47, Сб. 4, т. 21, поз. 2</t>
  </si>
  <si>
    <t>ТСН-2001.3-4. 4-21-1...4-21-4 (доп. 47)</t>
  </si>
  <si>
    <t>ТСН-2001.3-4-2</t>
  </si>
  <si>
    <t>7</t>
  </si>
  <si>
    <t>3.4-23-4</t>
  </si>
  <si>
    <t>Устройство закрытого (подземного) перехода методом горизонтально направленного бурения с поэтапным расширением скважины для полиэтиленовых труб в грунтах I-III группы установками с тяговым усилием до 500 кН для труб Dy = 500 мм длиной до 400 м</t>
  </si>
  <si>
    <t>1 М</t>
  </si>
  <si>
    <t>ТСН-2001.3 Доп. 47, Сб. 4, т. 23, поз. 4</t>
  </si>
  <si>
    <t>ТСН-2001.3-4. 4-23-1...4-23-5 (доп. 47)</t>
  </si>
  <si>
    <t>ТСН-2001.3-4-4</t>
  </si>
  <si>
    <t>7,1</t>
  </si>
  <si>
    <t>1.1-1-1835</t>
  </si>
  <si>
    <t>Бентонит натриевый тонкого помола с содержанием органических полимеров, для сгущения, увеличения объема и придания гелеобразующих свойств буровым растворам, укрепления, снижения просачивания воды в стенках каналов</t>
  </si>
  <si>
    <t>кг</t>
  </si>
  <si>
    <t>ТСН-2001.1 Доп. 49, Р. 1, о. 1, поз. 1835</t>
  </si>
  <si>
    <t>7,2</t>
  </si>
  <si>
    <t>1.12-5-708</t>
  </si>
  <si>
    <t>Трубы напорные из полиэтилена (ПЭ-100) SDR 17 (1,0 МПа) с защитным покрытием в виде тонкостенного слоя из упрочненного полипропилена, диаметр 225 мм, толщина стенки 13,4 мм</t>
  </si>
  <si>
    <t>м</t>
  </si>
  <si>
    <t>ТСН-2001.1. Доп. 1-42. Р. 12, о. 5, поз. 708</t>
  </si>
  <si>
    <t>7,3</t>
  </si>
  <si>
    <t>1.1-1-3290</t>
  </si>
  <si>
    <t>Средство полимерное жидкое типа "Мастер Рок СЛП2", для кондиционирования грунтов</t>
  </si>
  <si>
    <t>л</t>
  </si>
  <si>
    <t>ТСН-2001.1 Доп. 43, Р. 1, о. 1, поз. 3290</t>
  </si>
  <si>
    <t>14</t>
  </si>
  <si>
    <t>3.22-56-2</t>
  </si>
  <si>
    <t>Сварка полиэтиленовых труб диаметром 225 мм</t>
  </si>
  <si>
    <t>1 стык</t>
  </si>
  <si>
    <t>ТСН-2001.3. Доп. 1-42. Сб. 22, т. 56, поз. 2</t>
  </si>
  <si>
    <t>ТСН-2001.3-22. 22-7...22-61</t>
  </si>
  <si>
    <t>ТСН-2001.3-22-1</t>
  </si>
  <si>
    <t>15</t>
  </si>
  <si>
    <t>3.4-21-4</t>
  </si>
  <si>
    <t>Демонтаж установки горизонтального направленного бурения с тяговым усилием до 500 кН</t>
  </si>
  <si>
    <t>ТСН-2001.3 Доп. 47, Сб. 4, т. 21, поз. 4</t>
  </si>
  <si>
    <t>ЗП№5 31мх1скв.х3тр.</t>
  </si>
  <si>
    <t>16</t>
  </si>
  <si>
    <t>17</t>
  </si>
  <si>
    <t>17,1</t>
  </si>
  <si>
    <t>17,2</t>
  </si>
  <si>
    <t>17,3</t>
  </si>
  <si>
    <t>19</t>
  </si>
  <si>
    <t>20</t>
  </si>
  <si>
    <t>ЗП№6 136мх1скв.х3тр.</t>
  </si>
  <si>
    <t>21</t>
  </si>
  <si>
    <t>22</t>
  </si>
  <si>
    <t>22,1</t>
  </si>
  <si>
    <t>22,2</t>
  </si>
  <si>
    <t>22,3</t>
  </si>
  <si>
    <t>24</t>
  </si>
  <si>
    <t>25</t>
  </si>
  <si>
    <t>ЗП№7 70мх1скв.х3тр.</t>
  </si>
  <si>
    <t>26</t>
  </si>
  <si>
    <t>27</t>
  </si>
  <si>
    <t>27,1</t>
  </si>
  <si>
    <t>27,2</t>
  </si>
  <si>
    <t>27,3</t>
  </si>
  <si>
    <t>29</t>
  </si>
  <si>
    <t>30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</si>
  <si>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</si>
  <si>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</si>
  <si>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</si>
  <si>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</si>
  <si>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</si>
  <si>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</si>
  <si>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</si>
  <si>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</si>
  <si>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</si>
  <si>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</si>
  <si>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</si>
  <si>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</si>
  <si>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</si>
  <si>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</si>
  <si>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</si>
  <si>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</si>
  <si>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</si>
  <si>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</si>
  <si>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</si>
  <si>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</si>
  <si>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</si>
  <si>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</si>
  <si>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</si>
  <si>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</si>
  <si>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</si>
  <si>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</si>
  <si>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</si>
  <si>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</si>
  <si>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</si>
  <si>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</si>
  <si>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</si>
  <si>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</si>
  <si>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</si>
  <si>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</si>
  <si>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</si>
  <si>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</si>
  <si>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</si>
  <si>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</si>
  <si>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</si>
  <si>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</si>
  <si>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</si>
  <si>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</si>
  <si>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</si>
  <si>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</si>
  <si>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</si>
  <si>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</si>
  <si>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</si>
  <si>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</si>
  <si>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</si>
  <si>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</si>
  <si>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</si>
  <si>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</si>
  <si>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</si>
  <si>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</si>
  <si>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Монтажные рвботы</t>
  </si>
  <si>
    <t>4.10-115-29</t>
  </si>
  <si>
    <t>Разные работы, герметизация свободного канала кабельной канализации</t>
  </si>
  <si>
    <t>канал</t>
  </si>
  <si>
    <t>ТСН-2001.4. Доп. 1-42. Сб. 10, т. 115, поз. 29</t>
  </si>
  <si>
    <t>Монтаж оборудования</t>
  </si>
  <si>
    <t>ТСН-2001.4-10. 10-115-26...10-115-33</t>
  </si>
  <si>
    <t>ТСН-2001.4-10-3</t>
  </si>
  <si>
    <t>1.12-5-236</t>
  </si>
  <si>
    <t>Заглушки из поливинилхлорида, диаметр 225 мм</t>
  </si>
  <si>
    <t>шт.</t>
  </si>
  <si>
    <t>ТСН-2001.1. Доп. 1-42. Р. 12, о. 5, поз. 236</t>
  </si>
  <si>
    <t>15.1-30-1</t>
  </si>
  <si>
    <t>Перевозка грунта с I по V группы на расстояние 30 км автосамосвалами грузоподъемностью до 10 т</t>
  </si>
  <si>
    <t>1 м3</t>
  </si>
  <si>
    <t>ТСН-2001.15. Доп. 1-42. Сб. 1, т. 30, поз. 1</t>
  </si>
  <si>
    <t>Транспортные затраты</t>
  </si>
  <si>
    <t>ТСН-2001.15-1. Содержание свалки</t>
  </si>
  <si>
    <t>ТСН-2001.15-1-2</t>
  </si>
  <si>
    <t>2</t>
  </si>
  <si>
    <t>15.1-0-9</t>
  </si>
  <si>
    <t>Размещение грунтов, полученных в результате производства земляных работ, не используемых для обратной засыпки: грунты не замусоренные экологически чистые</t>
  </si>
  <si>
    <t>1 Т</t>
  </si>
  <si>
    <t>ТСН-2001.15. Доп. 1-42. Сб. 1, т. 0, поз. 9</t>
  </si>
  <si>
    <t>смр</t>
  </si>
  <si>
    <t>вре</t>
  </si>
  <si>
    <t>Временные здания и сооружения 1,5%</t>
  </si>
  <si>
    <t>пр</t>
  </si>
  <si>
    <t>ит</t>
  </si>
  <si>
    <t>Итого по акту</t>
  </si>
  <si>
    <t>НДС-18%</t>
  </si>
  <si>
    <t>НДС-20%</t>
  </si>
  <si>
    <t>вс</t>
  </si>
  <si>
    <t>Всего по смете с НДС</t>
  </si>
  <si>
    <t>Ит</t>
  </si>
  <si>
    <t>монт</t>
  </si>
  <si>
    <t>Монтажные работы</t>
  </si>
  <si>
    <t>врем</t>
  </si>
  <si>
    <t>Итого с временными зданиями и сооружениями 1,5%</t>
  </si>
  <si>
    <t>проч</t>
  </si>
  <si>
    <t>ит2</t>
  </si>
  <si>
    <t>НДС</t>
  </si>
  <si>
    <t>Всего по акту с НДС</t>
  </si>
  <si>
    <t>Итог</t>
  </si>
  <si>
    <t>Итого по акту с учетом тендерного снижения 3%</t>
  </si>
  <si>
    <t>Уровень цен</t>
  </si>
  <si>
    <t>Сборник индексов</t>
  </si>
  <si>
    <t>Коэффициенты к ТСН-2001 МГЭ</t>
  </si>
  <si>
    <t>149</t>
  </si>
  <si>
    <t>_OBSM_</t>
  </si>
  <si>
    <t>9999990008</t>
  </si>
  <si>
    <t>Трудозатраты рабочих</t>
  </si>
  <si>
    <t>чел.-ч.</t>
  </si>
  <si>
    <t>ТСН-2001.1. База. Р.1, о.1, поз.766</t>
  </si>
  <si>
    <t>ПЕСОК ДЛЯ СТРОИТЕЛЬНЫХ РАБОТ, РЯДОВОЙ</t>
  </si>
  <si>
    <t>2.1-17-203</t>
  </si>
  <si>
    <t>ТСН-2001.2. Доп. 47. п.1-17-203 (172706)</t>
  </si>
  <si>
    <t>Установки направленного бурения, тяговое усилие до 500 кН</t>
  </si>
  <si>
    <t>маш.-ч.</t>
  </si>
  <si>
    <t>2.1-9-2</t>
  </si>
  <si>
    <t>ТСН-2001.2. Доп. 1-42, п. 1-9-2 (090201)</t>
  </si>
  <si>
    <t>Машины бурильно-крановые на базе автомобиля, глубина бурения до 5 м</t>
  </si>
  <si>
    <t>2.1-11-91</t>
  </si>
  <si>
    <t>ТСН-2001.2. Доп. 48. п.1-11-91 (110701)</t>
  </si>
  <si>
    <t>Мотопомпы, производительность до 54 м3/ч, напор до 28 м</t>
  </si>
  <si>
    <t>2.1-17-49</t>
  </si>
  <si>
    <t>ТСН-2001.2. Доп. 1-42, п. 1-17-49 (176802)</t>
  </si>
  <si>
    <t>Каналоочистители-илососы универсальные, емкость до 10 м3</t>
  </si>
  <si>
    <t>2.1-18-23</t>
  </si>
  <si>
    <t>ТСН-2001.2. Доп. 1-42, п. 1-18-23 (183201)</t>
  </si>
  <si>
    <t>Автомобили бортовые с манипулятором грузоподъемностью до 6 т</t>
  </si>
  <si>
    <t>2.1-3-70</t>
  </si>
  <si>
    <t>ТСН-2001.2. Доп. 1-42, п. 1-3-70 (038005)</t>
  </si>
  <si>
    <t>Трубоукладчики для труб, диаметр 600-700 мм</t>
  </si>
  <si>
    <t>2.1-5-17</t>
  </si>
  <si>
    <t>ТСН-2001.2. Доп. 1-42, п. 1-5-17 (050901)</t>
  </si>
  <si>
    <t>Поливомоечные машины, емкость цистерны до 5000 л</t>
  </si>
  <si>
    <t>2.1-6-79</t>
  </si>
  <si>
    <t>ТСН-2001.2. Доп. 47. п.1-6-79 (061105)</t>
  </si>
  <si>
    <t>Установки смесительные стационарные для приготовления бентонитового раствора, емкость до 4000 л</t>
  </si>
  <si>
    <t>9999990007</t>
  </si>
  <si>
    <t>Стоимость прочих машин (ЭСН)</t>
  </si>
  <si>
    <t>руб.</t>
  </si>
  <si>
    <t>1.1-1-1049</t>
  </si>
  <si>
    <t>ТСН-2001.1. Доп. 1-42. Р. 1, о. 1, поз. 1049</t>
  </si>
  <si>
    <t>Сода кальцинированная техническая</t>
  </si>
  <si>
    <t>т</t>
  </si>
  <si>
    <t>1.1-1-118</t>
  </si>
  <si>
    <t>ТСН-2001.1. Доп. 1-42. Р. 1, о. 1, поз. 118</t>
  </si>
  <si>
    <t>Вода</t>
  </si>
  <si>
    <t>1.1-1-2948</t>
  </si>
  <si>
    <t>ТСН-2001.1 Доп. 49, Р. 1, о. 1, поз. 2948</t>
  </si>
  <si>
    <t>Смазка графитная</t>
  </si>
  <si>
    <t>2.1-13-29</t>
  </si>
  <si>
    <t>ТСН-2001.2. Доп. 1-42, п. 1-13-29 (135502)</t>
  </si>
  <si>
    <t>Машины для сварки полиэтиленовых труб PSO 825, диаметр до 315 мм</t>
  </si>
  <si>
    <t>2164500000</t>
  </si>
  <si>
    <t>Бентониты</t>
  </si>
  <si>
    <t>2248110000</t>
  </si>
  <si>
    <t>Трубы из полиэтилена</t>
  </si>
  <si>
    <t>2452910000</t>
  </si>
  <si>
    <t>Полимеры для флотации</t>
  </si>
  <si>
    <t>Форма № 1б</t>
  </si>
  <si>
    <t>(наименование стройки)</t>
  </si>
  <si>
    <t>(локальный сметный расчет)</t>
  </si>
  <si>
    <t>(наименование работ и затрат, наименование объекта)</t>
  </si>
  <si>
    <t xml:space="preserve">Кроме того: 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</si>
  <si>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</si>
  <si>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</si>
  <si>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</si>
  <si>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</si>
  <si>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</si>
  <si>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</si>
  <si>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</si>
  <si>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</si>
  <si>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ВСЕГО в базисном уровне цен, руб.</t>
  </si>
  <si>
    <t>Коэфф. пересчета и нормы НР и СП</t>
  </si>
  <si>
    <t>Всего в текущем уровне цен, руб.</t>
  </si>
  <si>
    <t>Составлен(а) в уровне текущих (прогнозных) цен Коэффициенты к ТСН-2001 МГЭ №149 февраль 2019 года</t>
  </si>
  <si>
    <t>ЗП</t>
  </si>
  <si>
    <t>НР от ЗП</t>
  </si>
  <si>
    <t>%</t>
  </si>
  <si>
    <t>СП от ЗП</t>
  </si>
  <si>
    <t>ЗТР</t>
  </si>
  <si>
    <t>чел-ч</t>
  </si>
  <si>
    <t>ЭМ</t>
  </si>
  <si>
    <t>в т.ч. ЗПМ</t>
  </si>
  <si>
    <t>НР и СП от ЗПМ</t>
  </si>
  <si>
    <t>МР</t>
  </si>
  <si>
    <t xml:space="preserve">   Итого по ТСН-2001.16</t>
  </si>
  <si>
    <t xml:space="preserve">   Итого возвратных сумм</t>
  </si>
  <si>
    <t xml:space="preserve">  тыс.руб</t>
  </si>
  <si>
    <t xml:space="preserve">Составил   </t>
  </si>
  <si>
    <t>[должность,подпись(инициалы,фамилия)]</t>
  </si>
  <si>
    <t xml:space="preserve">Проверил   </t>
  </si>
  <si>
    <t xml:space="preserve"> 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</si>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</sst>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\ #,##0.00"/>
    <numFmt numFmtId="165" formatCode="#,##0.00####;[Red]\-\ #,##0.00####"/>
  </numFmts>
  <fonts count="19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horizontal="right"/>
    </xf>
    <xf numFmtId="0" fontId="11" fillId="0" borderId="0" xfId="0" applyFont="1"/>
    <xf numFmtId="164" fontId="11" fillId="0" borderId="0" xfId="0" applyNumberFormat="1" applyFont="1"/>
    <xf numFmtId="0" fontId="11" fillId="0" borderId="0" xfId="0" applyFont="1" applyFill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165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0" fillId="0" borderId="0" xfId="0" applyNumberFormat="1"/>
    <xf numFmtId="0" fontId="0" fillId="0" borderId="5" xfId="0" applyBorder="1"/>
    <xf numFmtId="0" fontId="16" fillId="0" borderId="0" xfId="0" applyFont="1" applyAlignment="1">
      <alignment wrapText="1"/>
    </xf>
    <xf numFmtId="164" fontId="16" fillId="0" borderId="0" xfId="0" applyNumberFormat="1" applyFont="1" applyAlignment="1">
      <alignment horizontal="right"/>
    </xf>
    <xf numFmtId="0" fontId="11" fillId="0" borderId="0" xfId="0" quotePrefix="1" applyFont="1" applyAlignment="1">
      <alignment horizontal="right" wrapText="1"/>
    </xf>
    <xf numFmtId="0" fontId="11" fillId="0" borderId="1" xfId="0" applyFont="1" applyBorder="1"/>
    <xf numFmtId="0" fontId="18" fillId="0" borderId="0" xfId="0" applyFont="1"/>
    <xf numFmtId="0" fontId="13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1" fillId="0" borderId="0" xfId="1" applyFont="1" applyFill="1" applyAlignment="1">
      <alignment horizontal="left"/>
    </xf>
    <xf numFmtId="0" fontId="9" fillId="0" borderId="0" xfId="1" applyFont="1" applyFill="1" applyAlignment="1">
      <alignment horizontal="left"/>
    </xf>
    <xf numFmtId="0" fontId="11" fillId="0" borderId="1" xfId="0" applyFont="1" applyBorder="1" applyAlignment="1">
      <alignment horizontal="left" wrapText="1"/>
    </xf>
    <xf numFmtId="0" fontId="15" fillId="0" borderId="0" xfId="0" applyFont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0" fillId="0" borderId="0" xfId="0" applyAlignment="1"/>
    <xf numFmtId="0" fontId="12" fillId="0" borderId="0" xfId="0" applyFont="1" applyAlignment="1">
      <alignment horizontal="center" wrapText="1"/>
    </xf>
    <xf numFmtId="164" fontId="17" fillId="0" borderId="5" xfId="0" applyNumberFormat="1" applyFont="1" applyBorder="1" applyAlignment="1">
      <alignment horizontal="right"/>
    </xf>
    <xf numFmtId="164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164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right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39"/>
  <sheetViews>
    <sheetView tabSelected="1" topLeftCell="A211" zoomScaleNormal="100" workbookViewId="0">
      <selection activeCell="J230" sqref="J230:K230"/>
    </sheetView>
  </sheetViews>
  <sheetFormatPr defaultRowHeight="12.75" x14ac:dyDescent="0.2"/>
  <cols>
    <col min="1" max="1" width="5.7109375" customWidth="1"/>
    <col min="2" max="2" width="11.7109375" customWidth="1"/>
    <col min="3" max="3" width="40.7109375" customWidth="1"/>
    <col min="4" max="6" width="11.7109375" customWidth="1"/>
    <col min="7" max="7" width="12.7109375" customWidth="1"/>
    <col min="8" max="8" width="10.7109375" customWidth="1"/>
    <col min="9" max="11" width="12.7109375" customWidth="1"/>
    <col min="15" max="36" width="0" hidden="1" customWidth="1"/>
    <col min="37" max="37" width="150.7109375" hidden="1" customWidth="1"/>
    <col min="38" max="38" width="104.7109375" hidden="1" customWidth="1"/>
    <col min="39" max="42" width="0" hidden="1" customWidth="1"/>
  </cols>
  <sheetData>
    <row r="1" spans="1:37" x14ac:dyDescent="0.2">
      <c r="A1" s="9" t="str">
        <f>Source!B1</f>
        <v>Smeta.RU  (495) 974-1589</v>
      </c>
    </row>
    <row r="2" spans="1:37" ht="14.25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1" t="s">
        <v>276</v>
      </c>
    </row>
    <row r="3" spans="1:37" ht="14.25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37" ht="45" customHeight="1" x14ac:dyDescent="0.25">
      <c r="A4" s="30" t="str">
        <f>A12</f>
        <v xml:space="preserve"> 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37" x14ac:dyDescent="0.2">
      <c r="A5" s="31" t="s">
        <v>277</v>
      </c>
      <c r="B5" s="31"/>
      <c r="C5" s="31"/>
      <c r="D5" s="31"/>
      <c r="E5" s="31"/>
      <c r="F5" s="31"/>
      <c r="G5" s="31"/>
      <c r="H5" s="31"/>
      <c r="I5" s="31"/>
      <c r="J5" s="31"/>
      <c r="K5" s="31"/>
    </row>
    <row r="6" spans="1:37" ht="14.25" x14ac:dyDescent="0.2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37" ht="15.75" x14ac:dyDescent="0.25">
      <c r="A7" s="30" t="str">
        <f>CONCATENATE( "ЛОКАЛЬНАЯ СМЕТА № ",IF(Source!F20&lt;&gt;"Новая локальная смета", Source!F20, ""))</f>
        <v>ЛОКАЛЬНАЯ СМЕТА № 1</v>
      </c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37" x14ac:dyDescent="0.2">
      <c r="A8" s="33" t="s">
        <v>278</v>
      </c>
      <c r="B8" s="33"/>
      <c r="C8" s="33"/>
      <c r="D8" s="33"/>
      <c r="E8" s="33"/>
      <c r="F8" s="33"/>
      <c r="G8" s="33"/>
      <c r="H8" s="33"/>
      <c r="I8" s="33"/>
      <c r="J8" s="33"/>
      <c r="K8" s="33"/>
    </row>
    <row r="9" spans="1:37" ht="14.25" x14ac:dyDescent="0.2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37" ht="18" x14ac:dyDescent="0.25">
      <c r="A10" s="37" t="str">
        <f>IF(Source!G20&lt;&gt;"Новая локальная смета", Source!G20, "")</f>
        <v>Строительство закрытых переходов при прокладке КЛ-20кВ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</row>
    <row r="11" spans="1:37" ht="9.75" customHeight="1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</row>
    <row r="12" spans="1:37" ht="54" hidden="1" x14ac:dyDescent="0.25">
      <c r="A12" s="38" t="str">
        <f>IF(Source!G12&lt;&gt;"Новый объект", Source!G12, "")</f>
        <v xml:space="preserve"> 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AK12" s="16" t="str">
        <f>IF(Source!G12&lt;&gt;"Новый объект", Source!G12, "")</f>
        <v xml:space="preserve"> 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</row>
    <row r="13" spans="1:37" x14ac:dyDescent="0.2">
      <c r="A13" s="33" t="s">
        <v>279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37" ht="14.25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</row>
    <row r="15" spans="1:37" ht="14.25" hidden="1" x14ac:dyDescent="0.2">
      <c r="A15" s="11"/>
      <c r="B15" s="11"/>
      <c r="C15" s="11"/>
      <c r="D15" s="11"/>
      <c r="E15" s="11"/>
      <c r="F15" s="13" t="s">
        <v>280</v>
      </c>
      <c r="G15" s="13"/>
      <c r="H15" s="13"/>
      <c r="I15" s="12"/>
      <c r="J15" s="12"/>
      <c r="K15" s="11"/>
    </row>
    <row r="16" spans="1:37" ht="14.25" hidden="1" x14ac:dyDescent="0.2">
      <c r="A16" s="11"/>
      <c r="B16" s="11"/>
      <c r="C16" s="11"/>
      <c r="D16" s="11"/>
      <c r="E16" s="11"/>
      <c r="F16" s="34" t="s">
        <v>159</v>
      </c>
      <c r="G16" s="35"/>
      <c r="H16" s="35"/>
      <c r="I16" s="12">
        <f>SUM(AE20:AE233)/1000</f>
        <v>0</v>
      </c>
      <c r="J16" s="12">
        <f>SUM(AF20:AF233)/1000</f>
        <v>0</v>
      </c>
      <c r="K16" s="11" t="s">
        <v>305</v>
      </c>
    </row>
    <row r="17" spans="1:27" ht="14.25" x14ac:dyDescent="0.2">
      <c r="A17" s="36" t="s">
        <v>292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</row>
    <row r="18" spans="1:27" ht="57" x14ac:dyDescent="0.2">
      <c r="A18" s="14" t="s">
        <v>281</v>
      </c>
      <c r="B18" s="14" t="s">
        <v>282</v>
      </c>
      <c r="C18" s="14" t="s">
        <v>283</v>
      </c>
      <c r="D18" s="14" t="s">
        <v>284</v>
      </c>
      <c r="E18" s="14" t="s">
        <v>285</v>
      </c>
      <c r="F18" s="14" t="s">
        <v>286</v>
      </c>
      <c r="G18" s="15" t="s">
        <v>287</v>
      </c>
      <c r="H18" s="15" t="s">
        <v>288</v>
      </c>
      <c r="I18" s="14" t="s">
        <v>289</v>
      </c>
      <c r="J18" s="14" t="s">
        <v>290</v>
      </c>
      <c r="K18" s="14" t="s">
        <v>291</v>
      </c>
    </row>
    <row r="19" spans="1:27" ht="14.25" x14ac:dyDescent="0.2">
      <c r="A19" s="14">
        <v>1</v>
      </c>
      <c r="B19" s="14">
        <v>2</v>
      </c>
      <c r="C19" s="14">
        <v>3</v>
      </c>
      <c r="D19" s="14">
        <v>4</v>
      </c>
      <c r="E19" s="14">
        <v>5</v>
      </c>
      <c r="F19" s="14">
        <v>6</v>
      </c>
      <c r="G19" s="14">
        <v>7</v>
      </c>
      <c r="H19" s="14">
        <v>8</v>
      </c>
      <c r="I19" s="14">
        <v>9</v>
      </c>
      <c r="J19" s="14">
        <v>10</v>
      </c>
      <c r="K19" s="14">
        <v>11</v>
      </c>
    </row>
    <row r="21" spans="1:27" ht="16.5" x14ac:dyDescent="0.25">
      <c r="A21" s="40" t="str">
        <f>CONCATENATE("Раздел: ",IF(Source!G24&lt;&gt;"Новый раздел", Source!G24, ""))</f>
        <v>Раздел: ГНБ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</row>
    <row r="23" spans="1:27" ht="16.5" x14ac:dyDescent="0.25">
      <c r="A23" s="40" t="str">
        <f>CONCATENATE("Подраздел: ",IF(Source!G28&lt;&gt;"Новый подраздел", Source!G28, ""))</f>
        <v>Подраздел: Строительные работы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</row>
    <row r="24" spans="1:27" ht="42.75" x14ac:dyDescent="0.2">
      <c r="A24" s="17" t="str">
        <f>Source!E32</f>
        <v>1</v>
      </c>
      <c r="B24" s="18" t="str">
        <f>Source!F32</f>
        <v>3.1-51-1</v>
      </c>
      <c r="C24" s="18" t="s">
        <v>32</v>
      </c>
      <c r="D24" s="19" t="str">
        <f>Source!H32</f>
        <v>100 м3 грунта</v>
      </c>
      <c r="E24" s="10">
        <f>Source!I32</f>
        <v>0.216</v>
      </c>
      <c r="F24" s="21"/>
      <c r="G24" s="20"/>
      <c r="H24" s="10"/>
      <c r="I24" s="22"/>
      <c r="J24" s="10"/>
      <c r="K24" s="22"/>
      <c r="Q24">
        <f>ROUND((Source!DN32/100)*ROUND((ROUND((Source!AF32*Source!AV32*Source!I32),2)),2), 2)</f>
        <v>578.15</v>
      </c>
      <c r="R24">
        <f>Source!X32</f>
        <v>10029.82</v>
      </c>
      <c r="S24">
        <f>ROUND((Source!DO32/100)*ROUND((ROUND((Source!AF32*Source!AV32*Source!I32),2)),2), 2)</f>
        <v>423.98</v>
      </c>
      <c r="T24">
        <f>Source!Y32</f>
        <v>4837.91</v>
      </c>
      <c r="U24">
        <f>ROUND((175/100)*ROUND((ROUND((Source!AE32*Source!AV32*Source!I32),2)),2), 2)</f>
        <v>0</v>
      </c>
      <c r="V24">
        <f>ROUND((157/100)*ROUND(ROUND((ROUND((Source!AE32*Source!AV32*Source!I32),2)*Source!BS32),2), 2), 2)</f>
        <v>0</v>
      </c>
    </row>
    <row r="25" spans="1:27" ht="14.25" x14ac:dyDescent="0.2">
      <c r="A25" s="17"/>
      <c r="B25" s="18"/>
      <c r="C25" s="18" t="s">
        <v>293</v>
      </c>
      <c r="D25" s="19"/>
      <c r="E25" s="10"/>
      <c r="F25" s="21">
        <f>Source!AO32</f>
        <v>2042.62</v>
      </c>
      <c r="G25" s="20" t="str">
        <f>Source!DG32</f>
        <v/>
      </c>
      <c r="H25" s="10">
        <f>Source!AV32</f>
        <v>1.248</v>
      </c>
      <c r="I25" s="22">
        <f>ROUND((ROUND((Source!AF32*Source!AV32*Source!I32),2)),2)</f>
        <v>550.62</v>
      </c>
      <c r="J25" s="10">
        <f>IF(Source!BA32&lt;&gt; 0, Source!BA32, 1)</f>
        <v>21.43</v>
      </c>
      <c r="K25" s="22">
        <f>Source!S32</f>
        <v>11799.79</v>
      </c>
      <c r="W25">
        <f>I25</f>
        <v>550.62</v>
      </c>
    </row>
    <row r="26" spans="1:27" ht="14.25" x14ac:dyDescent="0.2">
      <c r="A26" s="17"/>
      <c r="B26" s="18"/>
      <c r="C26" s="18" t="s">
        <v>294</v>
      </c>
      <c r="D26" s="19" t="s">
        <v>295</v>
      </c>
      <c r="E26" s="10">
        <f>Source!DN32</f>
        <v>105</v>
      </c>
      <c r="F26" s="21"/>
      <c r="G26" s="20"/>
      <c r="H26" s="10"/>
      <c r="I26" s="22">
        <f>SUM(Q24:Q25)</f>
        <v>578.15</v>
      </c>
      <c r="J26" s="10">
        <f>Source!BZ32</f>
        <v>85</v>
      </c>
      <c r="K26" s="22">
        <f>SUM(R24:R25)</f>
        <v>10029.82</v>
      </c>
    </row>
    <row r="27" spans="1:27" ht="14.25" x14ac:dyDescent="0.2">
      <c r="A27" s="17"/>
      <c r="B27" s="18"/>
      <c r="C27" s="18" t="s">
        <v>296</v>
      </c>
      <c r="D27" s="19" t="s">
        <v>295</v>
      </c>
      <c r="E27" s="10">
        <f>Source!DO32</f>
        <v>77</v>
      </c>
      <c r="F27" s="21"/>
      <c r="G27" s="20"/>
      <c r="H27" s="10"/>
      <c r="I27" s="22">
        <f>SUM(S24:S26)</f>
        <v>423.98</v>
      </c>
      <c r="J27" s="10">
        <f>Source!CA32</f>
        <v>41</v>
      </c>
      <c r="K27" s="22">
        <f>SUM(T24:T26)</f>
        <v>4837.91</v>
      </c>
    </row>
    <row r="28" spans="1:27" ht="14.25" x14ac:dyDescent="0.2">
      <c r="A28" s="17"/>
      <c r="B28" s="18"/>
      <c r="C28" s="18" t="s">
        <v>297</v>
      </c>
      <c r="D28" s="19" t="s">
        <v>298</v>
      </c>
      <c r="E28" s="10">
        <f>Source!AQ32</f>
        <v>192.7</v>
      </c>
      <c r="F28" s="21"/>
      <c r="G28" s="20" t="str">
        <f>Source!DI32</f>
        <v/>
      </c>
      <c r="H28" s="10">
        <f>Source!AV32</f>
        <v>1.248</v>
      </c>
      <c r="I28" s="22">
        <f>Source!U32</f>
        <v>51.945753599999996</v>
      </c>
      <c r="J28" s="10"/>
      <c r="K28" s="22"/>
    </row>
    <row r="29" spans="1:27" ht="15" x14ac:dyDescent="0.25">
      <c r="A29" s="24"/>
      <c r="B29" s="24"/>
      <c r="C29" s="24"/>
      <c r="D29" s="24"/>
      <c r="E29" s="24"/>
      <c r="F29" s="24"/>
      <c r="G29" s="24"/>
      <c r="H29" s="41">
        <f>I25+I26+I27</f>
        <v>1552.75</v>
      </c>
      <c r="I29" s="41"/>
      <c r="J29" s="41">
        <f>K25+K26+K27</f>
        <v>26667.52</v>
      </c>
      <c r="K29" s="41"/>
      <c r="O29" s="23">
        <f>I25+I26+I27</f>
        <v>1552.75</v>
      </c>
      <c r="P29" s="23">
        <f>K25+K26+K27</f>
        <v>26667.52</v>
      </c>
      <c r="X29">
        <f>IF(Source!BI32&lt;=1,I25+I26+I27-0, 0)</f>
        <v>1552.75</v>
      </c>
      <c r="Y29">
        <f>IF(Source!BI32=2,I25+I26+I27-0, 0)</f>
        <v>0</v>
      </c>
      <c r="Z29">
        <f>IF(Source!BI32=3,I25+I26+I27-0, 0)</f>
        <v>0</v>
      </c>
      <c r="AA29">
        <f>IF(Source!BI32=4,I25+I26+I27,0)</f>
        <v>0</v>
      </c>
    </row>
    <row r="30" spans="1:27" ht="28.5" x14ac:dyDescent="0.2">
      <c r="A30" s="17" t="str">
        <f>Source!E33</f>
        <v>3</v>
      </c>
      <c r="B30" s="18" t="str">
        <f>Source!F33</f>
        <v>3.1-53-1</v>
      </c>
      <c r="C30" s="18" t="s">
        <v>38</v>
      </c>
      <c r="D30" s="19" t="str">
        <f>Source!H33</f>
        <v>100 м3 грунта</v>
      </c>
      <c r="E30" s="10">
        <f>Source!I33</f>
        <v>0.216</v>
      </c>
      <c r="F30" s="21"/>
      <c r="G30" s="20"/>
      <c r="H30" s="10"/>
      <c r="I30" s="22"/>
      <c r="J30" s="10"/>
      <c r="K30" s="22"/>
      <c r="Q30">
        <f>ROUND((Source!DN33/100)*ROUND((ROUND((Source!AF33*Source!AV33*Source!I33),2)),2), 2)</f>
        <v>297.52</v>
      </c>
      <c r="R30">
        <f>Source!X33</f>
        <v>5161.3599999999997</v>
      </c>
      <c r="S30">
        <f>ROUND((Source!DO33/100)*ROUND((ROUND((Source!AF33*Source!AV33*Source!I33),2)),2), 2)</f>
        <v>218.18</v>
      </c>
      <c r="T30">
        <f>Source!Y33</f>
        <v>2489.6</v>
      </c>
      <c r="U30">
        <f>ROUND((175/100)*ROUND((ROUND((Source!AE33*Source!AV33*Source!I33),2)),2), 2)</f>
        <v>0</v>
      </c>
      <c r="V30">
        <f>ROUND((157/100)*ROUND(ROUND((ROUND((Source!AE33*Source!AV33*Source!I33),2)*Source!BS33),2), 2), 2)</f>
        <v>0</v>
      </c>
    </row>
    <row r="31" spans="1:27" ht="14.25" x14ac:dyDescent="0.2">
      <c r="A31" s="17"/>
      <c r="B31" s="18"/>
      <c r="C31" s="18" t="s">
        <v>293</v>
      </c>
      <c r="D31" s="19"/>
      <c r="E31" s="10"/>
      <c r="F31" s="21">
        <f>Source!AO33</f>
        <v>1051.1300000000001</v>
      </c>
      <c r="G31" s="20" t="str">
        <f>Source!DG33</f>
        <v/>
      </c>
      <c r="H31" s="10">
        <f>Source!AV33</f>
        <v>1.248</v>
      </c>
      <c r="I31" s="22">
        <f>ROUND((ROUND((Source!AF33*Source!AV33*Source!I33),2)),2)</f>
        <v>283.35000000000002</v>
      </c>
      <c r="J31" s="10">
        <f>IF(Source!BA33&lt;&gt; 0, Source!BA33, 1)</f>
        <v>21.43</v>
      </c>
      <c r="K31" s="22">
        <f>Source!S33</f>
        <v>6072.19</v>
      </c>
      <c r="W31">
        <f>I31</f>
        <v>283.35000000000002</v>
      </c>
    </row>
    <row r="32" spans="1:27" ht="14.25" x14ac:dyDescent="0.2">
      <c r="A32" s="17"/>
      <c r="B32" s="18"/>
      <c r="C32" s="18" t="s">
        <v>294</v>
      </c>
      <c r="D32" s="19" t="s">
        <v>295</v>
      </c>
      <c r="E32" s="10">
        <f>Source!DN33</f>
        <v>105</v>
      </c>
      <c r="F32" s="21"/>
      <c r="G32" s="20"/>
      <c r="H32" s="10"/>
      <c r="I32" s="22">
        <f>SUM(Q30:Q31)</f>
        <v>297.52</v>
      </c>
      <c r="J32" s="10">
        <f>Source!BZ33</f>
        <v>85</v>
      </c>
      <c r="K32" s="22">
        <f>SUM(R30:R31)</f>
        <v>5161.3599999999997</v>
      </c>
    </row>
    <row r="33" spans="1:27" ht="14.25" x14ac:dyDescent="0.2">
      <c r="A33" s="17"/>
      <c r="B33" s="18"/>
      <c r="C33" s="18" t="s">
        <v>296</v>
      </c>
      <c r="D33" s="19" t="s">
        <v>295</v>
      </c>
      <c r="E33" s="10">
        <f>Source!DO33</f>
        <v>77</v>
      </c>
      <c r="F33" s="21"/>
      <c r="G33" s="20"/>
      <c r="H33" s="10"/>
      <c r="I33" s="22">
        <f>SUM(S30:S32)</f>
        <v>218.18</v>
      </c>
      <c r="J33" s="10">
        <f>Source!CA33</f>
        <v>41</v>
      </c>
      <c r="K33" s="22">
        <f>SUM(T30:T32)</f>
        <v>2489.6</v>
      </c>
    </row>
    <row r="34" spans="1:27" ht="14.25" x14ac:dyDescent="0.2">
      <c r="A34" s="17"/>
      <c r="B34" s="18"/>
      <c r="C34" s="18" t="s">
        <v>297</v>
      </c>
      <c r="D34" s="19" t="s">
        <v>298</v>
      </c>
      <c r="E34" s="10">
        <f>Source!AQ33</f>
        <v>107.04</v>
      </c>
      <c r="F34" s="21"/>
      <c r="G34" s="20" t="str">
        <f>Source!DI33</f>
        <v/>
      </c>
      <c r="H34" s="10">
        <f>Source!AV33</f>
        <v>1.248</v>
      </c>
      <c r="I34" s="22">
        <f>Source!U33</f>
        <v>28.854558720000004</v>
      </c>
      <c r="J34" s="10"/>
      <c r="K34" s="22"/>
    </row>
    <row r="35" spans="1:27" ht="15" x14ac:dyDescent="0.25">
      <c r="A35" s="24"/>
      <c r="B35" s="24"/>
      <c r="C35" s="24"/>
      <c r="D35" s="24"/>
      <c r="E35" s="24"/>
      <c r="F35" s="24"/>
      <c r="G35" s="24"/>
      <c r="H35" s="41">
        <f>I31+I32+I33</f>
        <v>799.05</v>
      </c>
      <c r="I35" s="41"/>
      <c r="J35" s="41">
        <f>K31+K32+K33</f>
        <v>13723.15</v>
      </c>
      <c r="K35" s="41"/>
      <c r="O35" s="23">
        <f>I31+I32+I33</f>
        <v>799.05</v>
      </c>
      <c r="P35" s="23">
        <f>K31+K32+K33</f>
        <v>13723.15</v>
      </c>
      <c r="X35">
        <f>IF(Source!BI33&lt;=1,I31+I32+I33-0, 0)</f>
        <v>799.05</v>
      </c>
      <c r="Y35">
        <f>IF(Source!BI33=2,I31+I32+I33-0, 0)</f>
        <v>0</v>
      </c>
      <c r="Z35">
        <f>IF(Source!BI33=3,I31+I32+I33-0, 0)</f>
        <v>0</v>
      </c>
      <c r="AA35">
        <f>IF(Source!BI33=4,I31+I32+I33,0)</f>
        <v>0</v>
      </c>
    </row>
    <row r="36" spans="1:27" ht="28.5" x14ac:dyDescent="0.2">
      <c r="A36" s="17" t="str">
        <f>Source!E34</f>
        <v>4</v>
      </c>
      <c r="B36" s="18" t="str">
        <f>Source!F34</f>
        <v>1.1-1-766</v>
      </c>
      <c r="C36" s="18" t="s">
        <v>42</v>
      </c>
      <c r="D36" s="19" t="str">
        <f>Source!H34</f>
        <v>м3</v>
      </c>
      <c r="E36" s="10">
        <f>Source!I34</f>
        <v>23.76</v>
      </c>
      <c r="F36" s="21">
        <f>Source!AL34</f>
        <v>104.99</v>
      </c>
      <c r="G36" s="20" t="str">
        <f>Source!DD34</f>
        <v/>
      </c>
      <c r="H36" s="10">
        <f>Source!AW34</f>
        <v>1</v>
      </c>
      <c r="I36" s="22">
        <f>ROUND((ROUND((Source!AC34*Source!AW34*Source!I34),2)),2)</f>
        <v>2494.56</v>
      </c>
      <c r="J36" s="10">
        <f>IF(Source!BC34&lt;&gt; 0, Source!BC34, 1)</f>
        <v>5.25</v>
      </c>
      <c r="K36" s="22">
        <f>Source!P34</f>
        <v>13096.44</v>
      </c>
      <c r="Q36">
        <f>ROUND((Source!DN34/100)*ROUND((ROUND((Source!AF34*Source!AV34*Source!I34),2)),2), 2)</f>
        <v>0</v>
      </c>
      <c r="R36">
        <f>Source!X34</f>
        <v>0</v>
      </c>
      <c r="S36">
        <f>ROUND((Source!DO34/100)*ROUND((ROUND((Source!AF34*Source!AV34*Source!I34),2)),2), 2)</f>
        <v>0</v>
      </c>
      <c r="T36">
        <f>Source!Y34</f>
        <v>0</v>
      </c>
      <c r="U36">
        <f>ROUND((175/100)*ROUND((ROUND((Source!AE34*Source!AV34*Source!I34),2)),2), 2)</f>
        <v>0</v>
      </c>
      <c r="V36">
        <f>ROUND((157/100)*ROUND(ROUND((ROUND((Source!AE34*Source!AV34*Source!I34),2)*Source!BS34),2), 2), 2)</f>
        <v>0</v>
      </c>
    </row>
    <row r="37" spans="1:27" ht="15" x14ac:dyDescent="0.25">
      <c r="A37" s="24"/>
      <c r="B37" s="24"/>
      <c r="C37" s="24"/>
      <c r="D37" s="24"/>
      <c r="E37" s="24"/>
      <c r="F37" s="24"/>
      <c r="G37" s="24"/>
      <c r="H37" s="41">
        <f>I36</f>
        <v>2494.56</v>
      </c>
      <c r="I37" s="41"/>
      <c r="J37" s="41">
        <f>K36</f>
        <v>13096.44</v>
      </c>
      <c r="K37" s="41"/>
      <c r="O37" s="23">
        <f>I36</f>
        <v>2494.56</v>
      </c>
      <c r="P37" s="23">
        <f>K36</f>
        <v>13096.44</v>
      </c>
      <c r="X37">
        <f>IF(Source!BI34&lt;=1,I36-0, 0)</f>
        <v>2494.56</v>
      </c>
      <c r="Y37">
        <f>IF(Source!BI34=2,I36-0, 0)</f>
        <v>0</v>
      </c>
      <c r="Z37">
        <f>IF(Source!BI34=3,I36-0, 0)</f>
        <v>0</v>
      </c>
      <c r="AA37">
        <f>IF(Source!BI34=4,I36,0)</f>
        <v>0</v>
      </c>
    </row>
    <row r="38" spans="1:27" ht="28.5" x14ac:dyDescent="0.2">
      <c r="A38" s="17" t="str">
        <f>Source!E35</f>
        <v>5</v>
      </c>
      <c r="B38" s="18" t="str">
        <f>Source!F35</f>
        <v>6.51-6-1</v>
      </c>
      <c r="C38" s="18" t="s">
        <v>50</v>
      </c>
      <c r="D38" s="19" t="str">
        <f>Source!H35</f>
        <v>100 м3 грунта</v>
      </c>
      <c r="E38" s="10">
        <f>Source!I35</f>
        <v>0.216</v>
      </c>
      <c r="F38" s="21"/>
      <c r="G38" s="20"/>
      <c r="H38" s="10"/>
      <c r="I38" s="22"/>
      <c r="J38" s="10"/>
      <c r="K38" s="22"/>
      <c r="Q38">
        <f>ROUND((Source!DN35/100)*ROUND((ROUND((Source!AF35*Source!AV35*Source!I35),2)),2), 2)</f>
        <v>195.05</v>
      </c>
      <c r="R38">
        <f>Source!X35</f>
        <v>3353.12</v>
      </c>
      <c r="S38">
        <f>ROUND((Source!DO35/100)*ROUND((ROUND((Source!AF35*Source!AV35*Source!I35),2)),2), 2)</f>
        <v>143.61000000000001</v>
      </c>
      <c r="T38">
        <f>Source!Y35</f>
        <v>1883.26</v>
      </c>
      <c r="U38">
        <f>ROUND((175/100)*ROUND((ROUND((Source!AE35*Source!AV35*Source!I35),2)),2), 2)</f>
        <v>0</v>
      </c>
      <c r="V38">
        <f>ROUND((157/100)*ROUND(ROUND((ROUND((Source!AE35*Source!AV35*Source!I35),2)*Source!BS35),2), 2), 2)</f>
        <v>0</v>
      </c>
    </row>
    <row r="39" spans="1:27" ht="14.25" x14ac:dyDescent="0.2">
      <c r="A39" s="17"/>
      <c r="B39" s="18"/>
      <c r="C39" s="18" t="s">
        <v>293</v>
      </c>
      <c r="D39" s="19"/>
      <c r="E39" s="10"/>
      <c r="F39" s="21">
        <f>Source!AO35</f>
        <v>795.14</v>
      </c>
      <c r="G39" s="20" t="str">
        <f>Source!DG35</f>
        <v/>
      </c>
      <c r="H39" s="10">
        <f>Source!AV35</f>
        <v>1.248</v>
      </c>
      <c r="I39" s="22">
        <f>ROUND((ROUND((Source!AF35*Source!AV35*Source!I35),2)),2)</f>
        <v>214.34</v>
      </c>
      <c r="J39" s="10">
        <f>IF(Source!BA35&lt;&gt; 0, Source!BA35, 1)</f>
        <v>21.43</v>
      </c>
      <c r="K39" s="22">
        <f>Source!S35</f>
        <v>4593.3100000000004</v>
      </c>
      <c r="W39">
        <f>I39</f>
        <v>214.34</v>
      </c>
    </row>
    <row r="40" spans="1:27" ht="14.25" x14ac:dyDescent="0.2">
      <c r="A40" s="17"/>
      <c r="B40" s="18"/>
      <c r="C40" s="18" t="s">
        <v>294</v>
      </c>
      <c r="D40" s="19" t="s">
        <v>295</v>
      </c>
      <c r="E40" s="10">
        <f>Source!DN35</f>
        <v>91</v>
      </c>
      <c r="F40" s="21"/>
      <c r="G40" s="20"/>
      <c r="H40" s="10"/>
      <c r="I40" s="22">
        <f>SUM(Q38:Q39)</f>
        <v>195.05</v>
      </c>
      <c r="J40" s="10">
        <f>Source!BZ35</f>
        <v>73</v>
      </c>
      <c r="K40" s="22">
        <f>SUM(R38:R39)</f>
        <v>3353.12</v>
      </c>
    </row>
    <row r="41" spans="1:27" ht="14.25" x14ac:dyDescent="0.2">
      <c r="A41" s="17"/>
      <c r="B41" s="18"/>
      <c r="C41" s="18" t="s">
        <v>296</v>
      </c>
      <c r="D41" s="19" t="s">
        <v>295</v>
      </c>
      <c r="E41" s="10">
        <f>Source!DO35</f>
        <v>67</v>
      </c>
      <c r="F41" s="21"/>
      <c r="G41" s="20"/>
      <c r="H41" s="10"/>
      <c r="I41" s="22">
        <f>SUM(S38:S40)</f>
        <v>143.61000000000001</v>
      </c>
      <c r="J41" s="10">
        <f>Source!CA35</f>
        <v>41</v>
      </c>
      <c r="K41" s="22">
        <f>SUM(T38:T40)</f>
        <v>1883.26</v>
      </c>
    </row>
    <row r="42" spans="1:27" ht="14.25" x14ac:dyDescent="0.2">
      <c r="A42" s="17"/>
      <c r="B42" s="18"/>
      <c r="C42" s="18" t="s">
        <v>297</v>
      </c>
      <c r="D42" s="19" t="s">
        <v>298</v>
      </c>
      <c r="E42" s="10">
        <f>Source!AQ35</f>
        <v>83</v>
      </c>
      <c r="F42" s="21"/>
      <c r="G42" s="20" t="str">
        <f>Source!DI35</f>
        <v/>
      </c>
      <c r="H42" s="10">
        <f>Source!AV35</f>
        <v>1.248</v>
      </c>
      <c r="I42" s="22">
        <f>Source!U35</f>
        <v>22.374144000000001</v>
      </c>
      <c r="J42" s="10"/>
      <c r="K42" s="22"/>
    </row>
    <row r="43" spans="1:27" ht="15" x14ac:dyDescent="0.25">
      <c r="A43" s="24"/>
      <c r="B43" s="24"/>
      <c r="C43" s="24"/>
      <c r="D43" s="24"/>
      <c r="E43" s="24"/>
      <c r="F43" s="24"/>
      <c r="G43" s="24"/>
      <c r="H43" s="41">
        <f>I39+I40+I41</f>
        <v>553</v>
      </c>
      <c r="I43" s="41"/>
      <c r="J43" s="41">
        <f>K39+K40+K41</f>
        <v>9829.69</v>
      </c>
      <c r="K43" s="41"/>
      <c r="O43" s="23">
        <f>I39+I40+I41</f>
        <v>553</v>
      </c>
      <c r="P43" s="23">
        <f>K39+K40+K41</f>
        <v>9829.69</v>
      </c>
      <c r="X43">
        <f>IF(Source!BI35&lt;=1,I39+I40+I41-0, 0)</f>
        <v>553</v>
      </c>
      <c r="Y43">
        <f>IF(Source!BI35=2,I39+I40+I41-0, 0)</f>
        <v>0</v>
      </c>
      <c r="Z43">
        <f>IF(Source!BI35=3,I39+I40+I41-0, 0)</f>
        <v>0</v>
      </c>
      <c r="AA43">
        <f>IF(Source!BI35=4,I39+I40+I41,0)</f>
        <v>0</v>
      </c>
    </row>
    <row r="44" spans="1:27" ht="14.25" x14ac:dyDescent="0.2">
      <c r="C44" s="25" t="str">
        <f>Source!G36</f>
        <v>ЗП№4 62мх1скв.х3тр.</v>
      </c>
    </row>
    <row r="45" spans="1:27" ht="42.75" x14ac:dyDescent="0.2">
      <c r="A45" s="17" t="str">
        <f>Source!E37</f>
        <v>6</v>
      </c>
      <c r="B45" s="18" t="str">
        <f>Source!F37</f>
        <v>3.4-21-2</v>
      </c>
      <c r="C45" s="18" t="s">
        <v>58</v>
      </c>
      <c r="D45" s="19" t="str">
        <f>Source!H37</f>
        <v>1  ШТ.</v>
      </c>
      <c r="E45" s="10">
        <f>Source!I37</f>
        <v>1</v>
      </c>
      <c r="F45" s="21"/>
      <c r="G45" s="20"/>
      <c r="H45" s="10"/>
      <c r="I45" s="22"/>
      <c r="J45" s="10"/>
      <c r="K45" s="22"/>
      <c r="Q45">
        <f>ROUND((Source!DN37/100)*ROUND((ROUND((Source!AF37*Source!AV37*Source!I37),2)),2), 2)</f>
        <v>11.82</v>
      </c>
      <c r="R45">
        <f>Source!X37</f>
        <v>202.23</v>
      </c>
      <c r="S45">
        <f>ROUND((Source!DO37/100)*ROUND((ROUND((Source!AF37*Source!AV37*Source!I37),2)),2), 2)</f>
        <v>12.53</v>
      </c>
      <c r="T45">
        <f>Source!Y37</f>
        <v>127.46</v>
      </c>
      <c r="U45">
        <f>ROUND((175/100)*ROUND((ROUND((Source!AE37*Source!AV37*Source!I37),2)),2), 2)</f>
        <v>107.42</v>
      </c>
      <c r="V45">
        <f>ROUND((157/100)*ROUND(ROUND((ROUND((Source!AE37*Source!AV37*Source!I37),2)*Source!BS37),2), 2), 2)</f>
        <v>2065.13</v>
      </c>
    </row>
    <row r="46" spans="1:27" ht="14.25" x14ac:dyDescent="0.2">
      <c r="A46" s="17"/>
      <c r="B46" s="18"/>
      <c r="C46" s="18" t="s">
        <v>293</v>
      </c>
      <c r="D46" s="19"/>
      <c r="E46" s="10"/>
      <c r="F46" s="21">
        <f>Source!AO37</f>
        <v>7.57</v>
      </c>
      <c r="G46" s="20" t="str">
        <f>Source!DG37</f>
        <v/>
      </c>
      <c r="H46" s="10">
        <f>Source!AV37</f>
        <v>1.0469999999999999</v>
      </c>
      <c r="I46" s="22">
        <f>ROUND((ROUND((Source!AF37*Source!AV37*Source!I37),2)),2)</f>
        <v>7.93</v>
      </c>
      <c r="J46" s="10">
        <f>IF(Source!BA37&lt;&gt; 0, Source!BA37, 1)</f>
        <v>21.43</v>
      </c>
      <c r="K46" s="22">
        <f>Source!S37</f>
        <v>169.94</v>
      </c>
      <c r="W46">
        <f>I46</f>
        <v>7.93</v>
      </c>
    </row>
    <row r="47" spans="1:27" ht="14.25" x14ac:dyDescent="0.2">
      <c r="A47" s="17"/>
      <c r="B47" s="18"/>
      <c r="C47" s="18" t="s">
        <v>299</v>
      </c>
      <c r="D47" s="19"/>
      <c r="E47" s="10"/>
      <c r="F47" s="21">
        <f>Source!AM37</f>
        <v>1237.54</v>
      </c>
      <c r="G47" s="20" t="str">
        <f>Source!DE37</f>
        <v/>
      </c>
      <c r="H47" s="10">
        <f>Source!AV37</f>
        <v>1.0469999999999999</v>
      </c>
      <c r="I47" s="22">
        <f>(ROUND((ROUND(((Source!ET37)*Source!AV37*Source!I37),2)),2)+ROUND((ROUND(((Source!AE37-(Source!EU37))*Source!AV37*Source!I37),2)),2))</f>
        <v>1295.7</v>
      </c>
      <c r="J47" s="10">
        <f>IF(Source!BB37&lt;&gt; 0, Source!BB37, 1)</f>
        <v>6.11</v>
      </c>
      <c r="K47" s="22">
        <f>Source!Q37</f>
        <v>7916.73</v>
      </c>
    </row>
    <row r="48" spans="1:27" ht="14.25" x14ac:dyDescent="0.2">
      <c r="A48" s="17"/>
      <c r="B48" s="18"/>
      <c r="C48" s="18" t="s">
        <v>300</v>
      </c>
      <c r="D48" s="19"/>
      <c r="E48" s="10"/>
      <c r="F48" s="21">
        <f>Source!AN37</f>
        <v>58.62</v>
      </c>
      <c r="G48" s="20" t="str">
        <f>Source!DF37</f>
        <v/>
      </c>
      <c r="H48" s="10">
        <f>Source!AV37</f>
        <v>1.0469999999999999</v>
      </c>
      <c r="I48" s="26">
        <f>ROUND((ROUND((Source!AE37*Source!AV37*Source!I37),2)),2)</f>
        <v>61.38</v>
      </c>
      <c r="J48" s="10">
        <f>IF(Source!BS37&lt;&gt; 0, Source!BS37, 1)</f>
        <v>21.43</v>
      </c>
      <c r="K48" s="26">
        <f>Source!R37</f>
        <v>1315.37</v>
      </c>
      <c r="W48">
        <f>I48</f>
        <v>61.38</v>
      </c>
    </row>
    <row r="49" spans="1:27" ht="14.25" x14ac:dyDescent="0.2">
      <c r="A49" s="17"/>
      <c r="B49" s="18"/>
      <c r="C49" s="18" t="s">
        <v>294</v>
      </c>
      <c r="D49" s="19" t="s">
        <v>295</v>
      </c>
      <c r="E49" s="10">
        <f>Source!DN37</f>
        <v>149</v>
      </c>
      <c r="F49" s="21"/>
      <c r="G49" s="20"/>
      <c r="H49" s="10"/>
      <c r="I49" s="22">
        <f>SUM(Q45:Q48)</f>
        <v>11.82</v>
      </c>
      <c r="J49" s="10">
        <f>Source!BZ37</f>
        <v>119</v>
      </c>
      <c r="K49" s="22">
        <f>SUM(R45:R48)</f>
        <v>202.23</v>
      </c>
    </row>
    <row r="50" spans="1:27" ht="14.25" x14ac:dyDescent="0.2">
      <c r="A50" s="17"/>
      <c r="B50" s="18"/>
      <c r="C50" s="18" t="s">
        <v>296</v>
      </c>
      <c r="D50" s="19" t="s">
        <v>295</v>
      </c>
      <c r="E50" s="10">
        <f>Source!DO37</f>
        <v>158</v>
      </c>
      <c r="F50" s="21"/>
      <c r="G50" s="20"/>
      <c r="H50" s="10"/>
      <c r="I50" s="22">
        <f>SUM(S45:S49)</f>
        <v>12.53</v>
      </c>
      <c r="J50" s="10">
        <f>Source!CA37</f>
        <v>75</v>
      </c>
      <c r="K50" s="22">
        <f>SUM(T45:T49)</f>
        <v>127.46</v>
      </c>
    </row>
    <row r="51" spans="1:27" ht="14.25" x14ac:dyDescent="0.2">
      <c r="A51" s="17"/>
      <c r="B51" s="18"/>
      <c r="C51" s="18" t="s">
        <v>301</v>
      </c>
      <c r="D51" s="19" t="s">
        <v>295</v>
      </c>
      <c r="E51" s="10">
        <f>175</f>
        <v>175</v>
      </c>
      <c r="F51" s="21"/>
      <c r="G51" s="20"/>
      <c r="H51" s="10"/>
      <c r="I51" s="22">
        <f>SUM(U45:U50)</f>
        <v>107.42</v>
      </c>
      <c r="J51" s="10">
        <f>157</f>
        <v>157</v>
      </c>
      <c r="K51" s="22">
        <f>SUM(V45:V50)</f>
        <v>2065.13</v>
      </c>
    </row>
    <row r="52" spans="1:27" ht="14.25" x14ac:dyDescent="0.2">
      <c r="A52" s="17"/>
      <c r="B52" s="18"/>
      <c r="C52" s="18" t="s">
        <v>297</v>
      </c>
      <c r="D52" s="19" t="s">
        <v>298</v>
      </c>
      <c r="E52" s="10">
        <f>Source!AQ37</f>
        <v>0.6</v>
      </c>
      <c r="F52" s="21"/>
      <c r="G52" s="20" t="str">
        <f>Source!DI37</f>
        <v/>
      </c>
      <c r="H52" s="10">
        <f>Source!AV37</f>
        <v>1.0469999999999999</v>
      </c>
      <c r="I52" s="22">
        <f>Source!U37</f>
        <v>0.62819999999999998</v>
      </c>
      <c r="J52" s="10"/>
      <c r="K52" s="22"/>
    </row>
    <row r="53" spans="1:27" ht="15" x14ac:dyDescent="0.25">
      <c r="A53" s="24"/>
      <c r="B53" s="24"/>
      <c r="C53" s="24"/>
      <c r="D53" s="24"/>
      <c r="E53" s="24"/>
      <c r="F53" s="24"/>
      <c r="G53" s="24"/>
      <c r="H53" s="41">
        <f>I46+I47+I49+I50+I51</f>
        <v>1435.4</v>
      </c>
      <c r="I53" s="41"/>
      <c r="J53" s="41">
        <f>K46+K47+K49+K50+K51</f>
        <v>10481.489999999998</v>
      </c>
      <c r="K53" s="41"/>
      <c r="O53" s="23">
        <f>I46+I47+I49+I50+I51</f>
        <v>1435.4</v>
      </c>
      <c r="P53" s="23">
        <f>K46+K47+K49+K50+K51</f>
        <v>10481.489999999998</v>
      </c>
      <c r="X53">
        <f>IF(Source!BI37&lt;=1,I46+I47+I49+I50+I51-0, 0)</f>
        <v>1435.4</v>
      </c>
      <c r="Y53">
        <f>IF(Source!BI37=2,I46+I47+I49+I50+I51-0, 0)</f>
        <v>0</v>
      </c>
      <c r="Z53">
        <f>IF(Source!BI37=3,I46+I47+I49+I50+I51-0, 0)</f>
        <v>0</v>
      </c>
      <c r="AA53">
        <f>IF(Source!BI37=4,I46+I47+I49+I50+I51,0)</f>
        <v>0</v>
      </c>
    </row>
    <row r="54" spans="1:27" ht="114" x14ac:dyDescent="0.2">
      <c r="A54" s="17" t="str">
        <f>Source!E38</f>
        <v>7</v>
      </c>
      <c r="B54" s="18" t="str">
        <f>Source!F38</f>
        <v>3.4-23-4</v>
      </c>
      <c r="C54" s="18" t="s">
        <v>65</v>
      </c>
      <c r="D54" s="19" t="str">
        <f>Source!H38</f>
        <v>1 М</v>
      </c>
      <c r="E54" s="10">
        <f>Source!I38</f>
        <v>62</v>
      </c>
      <c r="F54" s="21"/>
      <c r="G54" s="20"/>
      <c r="H54" s="10"/>
      <c r="I54" s="22"/>
      <c r="J54" s="10"/>
      <c r="K54" s="22"/>
      <c r="Q54">
        <f>ROUND((Source!DN38/100)*ROUND((ROUND((Source!AF38*Source!AV38*Source!I38),2)),2), 2)</f>
        <v>2956.79</v>
      </c>
      <c r="R54">
        <f>Source!X38</f>
        <v>50606.080000000002</v>
      </c>
      <c r="S54">
        <f>ROUND((Source!DO38/100)*ROUND((ROUND((Source!AF38*Source!AV38*Source!I38),2)),2), 2)</f>
        <v>3135.38</v>
      </c>
      <c r="T54">
        <f>Source!Y38</f>
        <v>31894.59</v>
      </c>
      <c r="U54">
        <f>ROUND((175/100)*ROUND((ROUND((Source!AE38*Source!AV38*Source!I38),2)),2), 2)</f>
        <v>12637.94</v>
      </c>
      <c r="V54">
        <f>ROUND((157/100)*ROUND(ROUND((ROUND((Source!AE38*Source!AV38*Source!I38),2)*Source!BS38),2), 2), 2)</f>
        <v>242974.14</v>
      </c>
    </row>
    <row r="55" spans="1:27" ht="14.25" x14ac:dyDescent="0.2">
      <c r="A55" s="17"/>
      <c r="B55" s="18"/>
      <c r="C55" s="18" t="s">
        <v>293</v>
      </c>
      <c r="D55" s="19"/>
      <c r="E55" s="10"/>
      <c r="F55" s="21">
        <f>Source!AO38</f>
        <v>30.57</v>
      </c>
      <c r="G55" s="20" t="str">
        <f>Source!DG38</f>
        <v/>
      </c>
      <c r="H55" s="10">
        <f>Source!AV38</f>
        <v>1.0469999999999999</v>
      </c>
      <c r="I55" s="22">
        <f>ROUND((ROUND((Source!AF38*Source!AV38*Source!I38),2)),2)</f>
        <v>1984.42</v>
      </c>
      <c r="J55" s="10">
        <f>IF(Source!BA38&lt;&gt; 0, Source!BA38, 1)</f>
        <v>21.43</v>
      </c>
      <c r="K55" s="22">
        <f>Source!S38</f>
        <v>42526.12</v>
      </c>
      <c r="W55">
        <f>I55</f>
        <v>1984.42</v>
      </c>
    </row>
    <row r="56" spans="1:27" ht="14.25" x14ac:dyDescent="0.2">
      <c r="A56" s="17"/>
      <c r="B56" s="18"/>
      <c r="C56" s="18" t="s">
        <v>299</v>
      </c>
      <c r="D56" s="19"/>
      <c r="E56" s="10"/>
      <c r="F56" s="21">
        <f>Source!AM38</f>
        <v>2005.14</v>
      </c>
      <c r="G56" s="20" t="str">
        <f>Source!DE38</f>
        <v/>
      </c>
      <c r="H56" s="10">
        <f>Source!AV38</f>
        <v>1.0469999999999999</v>
      </c>
      <c r="I56" s="22">
        <f>(ROUND((ROUND(((Source!ET38)*Source!AV38*Source!I38),2)),2)+ROUND((ROUND(((Source!AE38-(Source!EU38))*Source!AV38*Source!I38),2)),2))</f>
        <v>130161.66</v>
      </c>
      <c r="J56" s="10">
        <f>IF(Source!BB38&lt;&gt; 0, Source!BB38, 1)</f>
        <v>6.26</v>
      </c>
      <c r="K56" s="22">
        <f>Source!Q38</f>
        <v>814811.99</v>
      </c>
    </row>
    <row r="57" spans="1:27" ht="14.25" x14ac:dyDescent="0.2">
      <c r="A57" s="17"/>
      <c r="B57" s="18"/>
      <c r="C57" s="18" t="s">
        <v>300</v>
      </c>
      <c r="D57" s="19"/>
      <c r="E57" s="10"/>
      <c r="F57" s="21">
        <f>Source!AN38</f>
        <v>111.25</v>
      </c>
      <c r="G57" s="20" t="str">
        <f>Source!DF38</f>
        <v/>
      </c>
      <c r="H57" s="10">
        <f>Source!AV38</f>
        <v>1.0469999999999999</v>
      </c>
      <c r="I57" s="26">
        <f>ROUND((ROUND((Source!AE38*Source!AV38*Source!I38),2)),2)</f>
        <v>7221.68</v>
      </c>
      <c r="J57" s="10">
        <f>IF(Source!BS38&lt;&gt; 0, Source!BS38, 1)</f>
        <v>21.43</v>
      </c>
      <c r="K57" s="26">
        <f>Source!R38</f>
        <v>154760.6</v>
      </c>
      <c r="W57">
        <f>I57</f>
        <v>7221.68</v>
      </c>
    </row>
    <row r="58" spans="1:27" ht="14.25" x14ac:dyDescent="0.2">
      <c r="A58" s="17"/>
      <c r="B58" s="18"/>
      <c r="C58" s="18" t="s">
        <v>302</v>
      </c>
      <c r="D58" s="19"/>
      <c r="E58" s="10"/>
      <c r="F58" s="21">
        <f>Source!AL38</f>
        <v>35.92</v>
      </c>
      <c r="G58" s="20" t="str">
        <f>Source!DD38</f>
        <v/>
      </c>
      <c r="H58" s="10">
        <f>Source!AW38</f>
        <v>1.079</v>
      </c>
      <c r="I58" s="22">
        <f>ROUND((ROUND((Source!AC38*Source!AW38*Source!I38),2)),2)</f>
        <v>2402.98</v>
      </c>
      <c r="J58" s="10">
        <f>IF(Source!BC38&lt;&gt; 0, Source!BC38, 1)</f>
        <v>4.18</v>
      </c>
      <c r="K58" s="22">
        <f>Source!P38</f>
        <v>10044.459999999999</v>
      </c>
    </row>
    <row r="59" spans="1:27" ht="99.75" x14ac:dyDescent="0.2">
      <c r="A59" s="17" t="str">
        <f>Source!E39</f>
        <v>7,1</v>
      </c>
      <c r="B59" s="18" t="str">
        <f>Source!F39</f>
        <v>1.1-1-1835</v>
      </c>
      <c r="C59" s="18" t="s">
        <v>72</v>
      </c>
      <c r="D59" s="19" t="str">
        <f>Source!H39</f>
        <v>кг</v>
      </c>
      <c r="E59" s="10">
        <f>Source!I39</f>
        <v>11110.4</v>
      </c>
      <c r="F59" s="21">
        <f>Source!AK39</f>
        <v>11.3</v>
      </c>
      <c r="G59" s="27" t="s">
        <v>6</v>
      </c>
      <c r="H59" s="10">
        <f>Source!AW39</f>
        <v>1.079</v>
      </c>
      <c r="I59" s="22">
        <f>ROUND((ROUND((Source!AC39*Source!AW39*Source!I39),2)),2)+(ROUND((ROUND(((Source!ET39)*Source!AV39*Source!I39),2)),2)+ROUND((ROUND(((Source!AE39-(Source!EU39))*Source!AV39*Source!I39),2)),2))+ROUND((ROUND((Source!AF39*Source!AV39*Source!I39),2)),2)</f>
        <v>135465.76999999999</v>
      </c>
      <c r="J59" s="10">
        <f>IF(Source!BC39&lt;&gt; 0, Source!BC39, 1)</f>
        <v>4.0199999999999996</v>
      </c>
      <c r="K59" s="22">
        <f>Source!O39</f>
        <v>544572.4</v>
      </c>
      <c r="Q59">
        <f>ROUND((Source!DN39/100)*ROUND((ROUND((Source!AF39*Source!AV39*Source!I39),2)),2), 2)</f>
        <v>0</v>
      </c>
      <c r="R59">
        <f>Source!X39</f>
        <v>0</v>
      </c>
      <c r="S59">
        <f>ROUND((Source!DO39/100)*ROUND((ROUND((Source!AF39*Source!AV39*Source!I39),2)),2), 2)</f>
        <v>0</v>
      </c>
      <c r="T59">
        <f>Source!Y39</f>
        <v>0</v>
      </c>
      <c r="U59">
        <f>ROUND((175/100)*ROUND((ROUND((Source!AE39*Source!AV39*Source!I39),2)),2), 2)</f>
        <v>0</v>
      </c>
      <c r="V59">
        <f>ROUND((157/100)*ROUND(ROUND((ROUND((Source!AE39*Source!AV39*Source!I39),2)*Source!BS39),2), 2), 2)</f>
        <v>0</v>
      </c>
      <c r="X59">
        <f>IF(Source!BI39&lt;=1,I59, 0)</f>
        <v>135465.76999999999</v>
      </c>
      <c r="Y59">
        <f>IF(Source!BI39=2,I59, 0)</f>
        <v>0</v>
      </c>
      <c r="Z59">
        <f>IF(Source!BI39=3,I59, 0)</f>
        <v>0</v>
      </c>
      <c r="AA59">
        <f>IF(Source!BI39=4,I59, 0)</f>
        <v>0</v>
      </c>
    </row>
    <row r="60" spans="1:27" ht="85.5" x14ac:dyDescent="0.2">
      <c r="A60" s="17" t="str">
        <f>Source!E40</f>
        <v>7,2</v>
      </c>
      <c r="B60" s="18" t="str">
        <f>Source!F40</f>
        <v>1.12-5-708</v>
      </c>
      <c r="C60" s="18" t="s">
        <v>77</v>
      </c>
      <c r="D60" s="19" t="str">
        <f>Source!H40</f>
        <v>м</v>
      </c>
      <c r="E60" s="10">
        <f>Source!I40</f>
        <v>192</v>
      </c>
      <c r="F60" s="21">
        <f>Source!AK40</f>
        <v>707.02</v>
      </c>
      <c r="G60" s="27" t="s">
        <v>6</v>
      </c>
      <c r="H60" s="10">
        <f>Source!AW40</f>
        <v>1.079</v>
      </c>
      <c r="I60" s="22">
        <f>ROUND((ROUND((Source!AC40*Source!AW40*Source!I40),2)),2)+(ROUND((ROUND(((Source!ET40)*Source!AV40*Source!I40),2)),2)+ROUND((ROUND(((Source!AE40-(Source!EU40))*Source!AV40*Source!I40),2)),2))+ROUND((ROUND((Source!AF40*Source!AV40*Source!I40),2)),2)</f>
        <v>146471.92000000001</v>
      </c>
      <c r="J60" s="10">
        <f>IF(Source!BC40&lt;&gt; 0, Source!BC40, 1)</f>
        <v>2.98</v>
      </c>
      <c r="K60" s="22">
        <f>Source!O40</f>
        <v>436486.32</v>
      </c>
      <c r="Q60">
        <f>ROUND((Source!DN40/100)*ROUND((ROUND((Source!AF40*Source!AV40*Source!I40),2)),2), 2)</f>
        <v>0</v>
      </c>
      <c r="R60">
        <f>Source!X40</f>
        <v>0</v>
      </c>
      <c r="S60">
        <f>ROUND((Source!DO40/100)*ROUND((ROUND((Source!AF40*Source!AV40*Source!I40),2)),2), 2)</f>
        <v>0</v>
      </c>
      <c r="T60">
        <f>Source!Y40</f>
        <v>0</v>
      </c>
      <c r="U60">
        <f>ROUND((175/100)*ROUND((ROUND((Source!AE40*Source!AV40*Source!I40),2)),2), 2)</f>
        <v>0</v>
      </c>
      <c r="V60">
        <f>ROUND((157/100)*ROUND(ROUND((ROUND((Source!AE40*Source!AV40*Source!I40),2)*Source!BS40),2), 2), 2)</f>
        <v>0</v>
      </c>
      <c r="X60">
        <f>IF(Source!BI40&lt;=1,I60, 0)</f>
        <v>146471.92000000001</v>
      </c>
      <c r="Y60">
        <f>IF(Source!BI40=2,I60, 0)</f>
        <v>0</v>
      </c>
      <c r="Z60">
        <f>IF(Source!BI40=3,I60, 0)</f>
        <v>0</v>
      </c>
      <c r="AA60">
        <f>IF(Source!BI40=4,I60, 0)</f>
        <v>0</v>
      </c>
    </row>
    <row r="61" spans="1:27" ht="42.75" x14ac:dyDescent="0.2">
      <c r="A61" s="17" t="str">
        <f>Source!E41</f>
        <v>7,3</v>
      </c>
      <c r="B61" s="18" t="str">
        <f>Source!F41</f>
        <v>1.1-1-3290</v>
      </c>
      <c r="C61" s="18" t="s">
        <v>82</v>
      </c>
      <c r="D61" s="19" t="str">
        <f>Source!H41</f>
        <v>л</v>
      </c>
      <c r="E61" s="10">
        <f>Source!I41</f>
        <v>608.69119999999998</v>
      </c>
      <c r="F61" s="21">
        <f>Source!AK41</f>
        <v>95.37</v>
      </c>
      <c r="G61" s="27" t="s">
        <v>6</v>
      </c>
      <c r="H61" s="10">
        <f>Source!AW41</f>
        <v>1.079</v>
      </c>
      <c r="I61" s="22">
        <f>ROUND((ROUND((Source!AC41*Source!AW41*Source!I41),2)),2)+(ROUND((ROUND(((Source!ET41)*Source!AV41*Source!I41),2)),2)+ROUND((ROUND(((Source!AE41-(Source!EU41))*Source!AV41*Source!I41),2)),2))+ROUND((ROUND((Source!AF41*Source!AV41*Source!I41),2)),2)</f>
        <v>62636.9</v>
      </c>
      <c r="J61" s="10">
        <f>IF(Source!BC41&lt;&gt; 0, Source!BC41, 1)</f>
        <v>4.6900000000000004</v>
      </c>
      <c r="K61" s="22">
        <f>Source!O41</f>
        <v>293767.06</v>
      </c>
      <c r="Q61">
        <f>ROUND((Source!DN41/100)*ROUND((ROUND((Source!AF41*Source!AV41*Source!I41),2)),2), 2)</f>
        <v>0</v>
      </c>
      <c r="R61">
        <f>Source!X41</f>
        <v>0</v>
      </c>
      <c r="S61">
        <f>ROUND((Source!DO41/100)*ROUND((ROUND((Source!AF41*Source!AV41*Source!I41),2)),2), 2)</f>
        <v>0</v>
      </c>
      <c r="T61">
        <f>Source!Y41</f>
        <v>0</v>
      </c>
      <c r="U61">
        <f>ROUND((175/100)*ROUND((ROUND((Source!AE41*Source!AV41*Source!I41),2)),2), 2)</f>
        <v>0</v>
      </c>
      <c r="V61">
        <f>ROUND((157/100)*ROUND(ROUND((ROUND((Source!AE41*Source!AV41*Source!I41),2)*Source!BS41),2), 2), 2)</f>
        <v>0</v>
      </c>
      <c r="X61">
        <f>IF(Source!BI41&lt;=1,I61, 0)</f>
        <v>62636.9</v>
      </c>
      <c r="Y61">
        <f>IF(Source!BI41=2,I61, 0)</f>
        <v>0</v>
      </c>
      <c r="Z61">
        <f>IF(Source!BI41=3,I61, 0)</f>
        <v>0</v>
      </c>
      <c r="AA61">
        <f>IF(Source!BI41=4,I61, 0)</f>
        <v>0</v>
      </c>
    </row>
    <row r="62" spans="1:27" ht="14.25" x14ac:dyDescent="0.2">
      <c r="A62" s="17"/>
      <c r="B62" s="18"/>
      <c r="C62" s="18" t="s">
        <v>294</v>
      </c>
      <c r="D62" s="19" t="s">
        <v>295</v>
      </c>
      <c r="E62" s="10">
        <f>Source!DN38</f>
        <v>149</v>
      </c>
      <c r="F62" s="21"/>
      <c r="G62" s="20"/>
      <c r="H62" s="10"/>
      <c r="I62" s="22">
        <f>SUM(Q54:Q61)</f>
        <v>2956.79</v>
      </c>
      <c r="J62" s="10">
        <f>Source!BZ38</f>
        <v>119</v>
      </c>
      <c r="K62" s="22">
        <f>SUM(R54:R61)</f>
        <v>50606.080000000002</v>
      </c>
    </row>
    <row r="63" spans="1:27" ht="14.25" x14ac:dyDescent="0.2">
      <c r="A63" s="17"/>
      <c r="B63" s="18"/>
      <c r="C63" s="18" t="s">
        <v>296</v>
      </c>
      <c r="D63" s="19" t="s">
        <v>295</v>
      </c>
      <c r="E63" s="10">
        <f>Source!DO38</f>
        <v>158</v>
      </c>
      <c r="F63" s="21"/>
      <c r="G63" s="20"/>
      <c r="H63" s="10"/>
      <c r="I63" s="22">
        <f>SUM(S54:S62)</f>
        <v>3135.38</v>
      </c>
      <c r="J63" s="10">
        <f>Source!CA38</f>
        <v>75</v>
      </c>
      <c r="K63" s="22">
        <f>SUM(T54:T62)</f>
        <v>31894.59</v>
      </c>
    </row>
    <row r="64" spans="1:27" ht="14.25" x14ac:dyDescent="0.2">
      <c r="A64" s="17"/>
      <c r="B64" s="18"/>
      <c r="C64" s="18" t="s">
        <v>301</v>
      </c>
      <c r="D64" s="19" t="s">
        <v>295</v>
      </c>
      <c r="E64" s="10">
        <f>175</f>
        <v>175</v>
      </c>
      <c r="F64" s="21"/>
      <c r="G64" s="20"/>
      <c r="H64" s="10"/>
      <c r="I64" s="22">
        <f>SUM(U54:U63)</f>
        <v>12637.94</v>
      </c>
      <c r="J64" s="10">
        <f>157</f>
        <v>157</v>
      </c>
      <c r="K64" s="22">
        <f>SUM(V54:V63)</f>
        <v>242974.14</v>
      </c>
    </row>
    <row r="65" spans="1:27" ht="14.25" x14ac:dyDescent="0.2">
      <c r="A65" s="17"/>
      <c r="B65" s="18"/>
      <c r="C65" s="18" t="s">
        <v>297</v>
      </c>
      <c r="D65" s="19" t="s">
        <v>298</v>
      </c>
      <c r="E65" s="10">
        <f>Source!AQ38</f>
        <v>2.2200000000000002</v>
      </c>
      <c r="F65" s="21"/>
      <c r="G65" s="20" t="str">
        <f>Source!DI38</f>
        <v/>
      </c>
      <c r="H65" s="10">
        <f>Source!AV38</f>
        <v>1.0469999999999999</v>
      </c>
      <c r="I65" s="22">
        <f>Source!U38</f>
        <v>144.10907999999998</v>
      </c>
      <c r="J65" s="10"/>
      <c r="K65" s="22"/>
    </row>
    <row r="66" spans="1:27" ht="15" x14ac:dyDescent="0.25">
      <c r="A66" s="24"/>
      <c r="B66" s="24"/>
      <c r="C66" s="24"/>
      <c r="D66" s="24"/>
      <c r="E66" s="24"/>
      <c r="F66" s="24"/>
      <c r="G66" s="24"/>
      <c r="H66" s="41">
        <f>I55+I56+I58+I62+I63+I64+SUM(I59:I61)</f>
        <v>497853.76000000007</v>
      </c>
      <c r="I66" s="41"/>
      <c r="J66" s="41">
        <f>K55+K56+K58+K62+K63+K64+SUM(K59:K61)</f>
        <v>2467683.16</v>
      </c>
      <c r="K66" s="41"/>
      <c r="O66" s="23">
        <f>I55+I56+I58+I62+I63+I64+SUM(I59:I61)</f>
        <v>497853.76000000007</v>
      </c>
      <c r="P66" s="23">
        <f>K55+K56+K58+K62+K63+K64+SUM(K59:K61)</f>
        <v>2467683.16</v>
      </c>
      <c r="X66">
        <f>IF(Source!BI38&lt;=1,I55+I56+I58+I62+I63+I64-0, 0)</f>
        <v>153279.17000000004</v>
      </c>
      <c r="Y66">
        <f>IF(Source!BI38=2,I55+I56+I58+I62+I63+I64-0, 0)</f>
        <v>0</v>
      </c>
      <c r="Z66">
        <f>IF(Source!BI38=3,I55+I56+I58+I62+I63+I64-0, 0)</f>
        <v>0</v>
      </c>
      <c r="AA66">
        <f>IF(Source!BI38=4,I55+I56+I58+I62+I63+I64,0)</f>
        <v>0</v>
      </c>
    </row>
    <row r="67" spans="1:27" ht="28.5" x14ac:dyDescent="0.2">
      <c r="A67" s="17" t="str">
        <f>Source!E42</f>
        <v>14</v>
      </c>
      <c r="B67" s="18" t="str">
        <f>Source!F42</f>
        <v>3.22-56-2</v>
      </c>
      <c r="C67" s="18" t="s">
        <v>87</v>
      </c>
      <c r="D67" s="19" t="str">
        <f>Source!H42</f>
        <v>1 стык</v>
      </c>
      <c r="E67" s="10">
        <f>Source!I42</f>
        <v>15</v>
      </c>
      <c r="F67" s="21"/>
      <c r="G67" s="20"/>
      <c r="H67" s="10"/>
      <c r="I67" s="22"/>
      <c r="J67" s="10"/>
      <c r="K67" s="22"/>
      <c r="Q67">
        <f>ROUND((Source!DN42/100)*ROUND((ROUND((Source!AF42*Source!AV42*Source!I42),2)),2), 2)</f>
        <v>0</v>
      </c>
      <c r="R67">
        <f>Source!X42</f>
        <v>0</v>
      </c>
      <c r="S67">
        <f>ROUND((Source!DO42/100)*ROUND((ROUND((Source!AF42*Source!AV42*Source!I42),2)),2), 2)</f>
        <v>0</v>
      </c>
      <c r="T67">
        <f>Source!Y42</f>
        <v>0</v>
      </c>
      <c r="U67">
        <f>ROUND((175/100)*ROUND((ROUND((Source!AE42*Source!AV42*Source!I42),2)),2), 2)</f>
        <v>16.239999999999998</v>
      </c>
      <c r="V67">
        <f>ROUND((157/100)*ROUND(ROUND((ROUND((Source!AE42*Source!AV42*Source!I42),2)*Source!BS42),2), 2), 2)</f>
        <v>312.23</v>
      </c>
    </row>
    <row r="68" spans="1:27" ht="14.25" x14ac:dyDescent="0.2">
      <c r="A68" s="17"/>
      <c r="B68" s="18"/>
      <c r="C68" s="18" t="s">
        <v>299</v>
      </c>
      <c r="D68" s="19"/>
      <c r="E68" s="10"/>
      <c r="F68" s="21">
        <f>Source!AM42</f>
        <v>25.7</v>
      </c>
      <c r="G68" s="20" t="str">
        <f>Source!DE42</f>
        <v/>
      </c>
      <c r="H68" s="10">
        <f>Source!AV42</f>
        <v>1.0669999999999999</v>
      </c>
      <c r="I68" s="22">
        <f>(ROUND((ROUND(((Source!ET42)*Source!AV42*Source!I42),2)),2)+ROUND((ROUND(((Source!AE42-(Source!EU42))*Source!AV42*Source!I42),2)),2))</f>
        <v>411.33</v>
      </c>
      <c r="J68" s="10">
        <f>IF(Source!BB42&lt;&gt; 0, Source!BB42, 1)</f>
        <v>2.37</v>
      </c>
      <c r="K68" s="22">
        <f>Source!Q42</f>
        <v>974.85</v>
      </c>
    </row>
    <row r="69" spans="1:27" ht="14.25" x14ac:dyDescent="0.2">
      <c r="A69" s="17"/>
      <c r="B69" s="18"/>
      <c r="C69" s="18" t="s">
        <v>300</v>
      </c>
      <c r="D69" s="19"/>
      <c r="E69" s="10"/>
      <c r="F69" s="21">
        <f>Source!AN42</f>
        <v>0.57999999999999996</v>
      </c>
      <c r="G69" s="20" t="str">
        <f>Source!DF42</f>
        <v/>
      </c>
      <c r="H69" s="10">
        <f>Source!AV42</f>
        <v>1.0669999999999999</v>
      </c>
      <c r="I69" s="26">
        <f>ROUND((ROUND((Source!AE42*Source!AV42*Source!I42),2)),2)</f>
        <v>9.2799999999999994</v>
      </c>
      <c r="J69" s="10">
        <f>IF(Source!BS42&lt;&gt; 0, Source!BS42, 1)</f>
        <v>21.43</v>
      </c>
      <c r="K69" s="26">
        <f>Source!R42</f>
        <v>198.87</v>
      </c>
      <c r="W69">
        <f>I69</f>
        <v>9.2799999999999994</v>
      </c>
    </row>
    <row r="70" spans="1:27" ht="14.25" x14ac:dyDescent="0.2">
      <c r="A70" s="17"/>
      <c r="B70" s="18"/>
      <c r="C70" s="18" t="s">
        <v>301</v>
      </c>
      <c r="D70" s="19" t="s">
        <v>295</v>
      </c>
      <c r="E70" s="10">
        <f>175</f>
        <v>175</v>
      </c>
      <c r="F70" s="21"/>
      <c r="G70" s="20"/>
      <c r="H70" s="10"/>
      <c r="I70" s="22">
        <f>SUM(U67:U69)</f>
        <v>16.239999999999998</v>
      </c>
      <c r="J70" s="10">
        <f>157</f>
        <v>157</v>
      </c>
      <c r="K70" s="22">
        <f>SUM(V67:V69)</f>
        <v>312.23</v>
      </c>
    </row>
    <row r="71" spans="1:27" ht="15" x14ac:dyDescent="0.25">
      <c r="A71" s="24"/>
      <c r="B71" s="24"/>
      <c r="C71" s="24"/>
      <c r="D71" s="24"/>
      <c r="E71" s="24"/>
      <c r="F71" s="24"/>
      <c r="G71" s="24"/>
      <c r="H71" s="41">
        <f>I68+I70</f>
        <v>427.57</v>
      </c>
      <c r="I71" s="41"/>
      <c r="J71" s="41">
        <f>K68+K70</f>
        <v>1287.08</v>
      </c>
      <c r="K71" s="41"/>
      <c r="O71" s="23">
        <f>I68+I70</f>
        <v>427.57</v>
      </c>
      <c r="P71" s="23">
        <f>K68+K70</f>
        <v>1287.08</v>
      </c>
      <c r="X71">
        <f>IF(Source!BI42&lt;=1,I68+I70-0, 0)</f>
        <v>427.57</v>
      </c>
      <c r="Y71">
        <f>IF(Source!BI42=2,I68+I70-0, 0)</f>
        <v>0</v>
      </c>
      <c r="Z71">
        <f>IF(Source!BI42=3,I68+I70-0, 0)</f>
        <v>0</v>
      </c>
      <c r="AA71">
        <f>IF(Source!BI42=4,I68+I70,0)</f>
        <v>0</v>
      </c>
    </row>
    <row r="72" spans="1:27" ht="42.75" x14ac:dyDescent="0.2">
      <c r="A72" s="17" t="str">
        <f>Source!E43</f>
        <v>15</v>
      </c>
      <c r="B72" s="18" t="str">
        <f>Source!F43</f>
        <v>3.4-21-4</v>
      </c>
      <c r="C72" s="18" t="s">
        <v>94</v>
      </c>
      <c r="D72" s="19" t="str">
        <f>Source!H43</f>
        <v>1  ШТ.</v>
      </c>
      <c r="E72" s="10">
        <f>Source!I43</f>
        <v>1</v>
      </c>
      <c r="F72" s="21"/>
      <c r="G72" s="20"/>
      <c r="H72" s="10"/>
      <c r="I72" s="22"/>
      <c r="J72" s="10"/>
      <c r="K72" s="22"/>
      <c r="Q72">
        <f>ROUND((Source!DN43/100)*ROUND((ROUND((Source!AF43*Source!AV43*Source!I43),2)),2), 2)</f>
        <v>5.1100000000000003</v>
      </c>
      <c r="R72">
        <f>Source!X43</f>
        <v>87.47</v>
      </c>
      <c r="S72">
        <f>ROUND((Source!DO43/100)*ROUND((ROUND((Source!AF43*Source!AV43*Source!I43),2)),2), 2)</f>
        <v>5.42</v>
      </c>
      <c r="T72">
        <f>Source!Y43</f>
        <v>55.13</v>
      </c>
      <c r="U72">
        <f>ROUND((175/100)*ROUND((ROUND((Source!AE43*Source!AV43*Source!I43),2)),2), 2)</f>
        <v>35.46</v>
      </c>
      <c r="V72">
        <f>ROUND((157/100)*ROUND(ROUND((ROUND((Source!AE43*Source!AV43*Source!I43),2)*Source!BS43),2), 2), 2)</f>
        <v>681.65</v>
      </c>
    </row>
    <row r="73" spans="1:27" ht="14.25" x14ac:dyDescent="0.2">
      <c r="A73" s="17"/>
      <c r="B73" s="18"/>
      <c r="C73" s="18" t="s">
        <v>293</v>
      </c>
      <c r="D73" s="19"/>
      <c r="E73" s="10"/>
      <c r="F73" s="21">
        <f>Source!AO43</f>
        <v>3.28</v>
      </c>
      <c r="G73" s="20" t="str">
        <f>Source!DG43</f>
        <v/>
      </c>
      <c r="H73" s="10">
        <f>Source!AV43</f>
        <v>1.0469999999999999</v>
      </c>
      <c r="I73" s="22">
        <f>ROUND((ROUND((Source!AF43*Source!AV43*Source!I43),2)),2)</f>
        <v>3.43</v>
      </c>
      <c r="J73" s="10">
        <f>IF(Source!BA43&lt;&gt; 0, Source!BA43, 1)</f>
        <v>21.43</v>
      </c>
      <c r="K73" s="22">
        <f>Source!S43</f>
        <v>73.5</v>
      </c>
      <c r="W73">
        <f>I73</f>
        <v>3.43</v>
      </c>
    </row>
    <row r="74" spans="1:27" ht="14.25" x14ac:dyDescent="0.2">
      <c r="A74" s="17"/>
      <c r="B74" s="18"/>
      <c r="C74" s="18" t="s">
        <v>299</v>
      </c>
      <c r="D74" s="19"/>
      <c r="E74" s="10"/>
      <c r="F74" s="21">
        <f>Source!AM43</f>
        <v>506.68</v>
      </c>
      <c r="G74" s="20" t="str">
        <f>Source!DE43</f>
        <v/>
      </c>
      <c r="H74" s="10">
        <f>Source!AV43</f>
        <v>1.0469999999999999</v>
      </c>
      <c r="I74" s="22">
        <f>(ROUND((ROUND(((Source!ET43)*Source!AV43*Source!I43),2)),2)+ROUND((ROUND(((Source!AE43-(Source!EU43))*Source!AV43*Source!I43),2)),2))</f>
        <v>530.49</v>
      </c>
      <c r="J74" s="10">
        <f>IF(Source!BB43&lt;&gt; 0, Source!BB43, 1)</f>
        <v>5.9</v>
      </c>
      <c r="K74" s="22">
        <f>Source!Q43</f>
        <v>3129.89</v>
      </c>
    </row>
    <row r="75" spans="1:27" ht="14.25" x14ac:dyDescent="0.2">
      <c r="A75" s="17"/>
      <c r="B75" s="18"/>
      <c r="C75" s="18" t="s">
        <v>300</v>
      </c>
      <c r="D75" s="19"/>
      <c r="E75" s="10"/>
      <c r="F75" s="21">
        <f>Source!AN43</f>
        <v>19.350000000000001</v>
      </c>
      <c r="G75" s="20" t="str">
        <f>Source!DF43</f>
        <v/>
      </c>
      <c r="H75" s="10">
        <f>Source!AV43</f>
        <v>1.0469999999999999</v>
      </c>
      <c r="I75" s="26">
        <f>ROUND((ROUND((Source!AE43*Source!AV43*Source!I43),2)),2)</f>
        <v>20.260000000000002</v>
      </c>
      <c r="J75" s="10">
        <f>IF(Source!BS43&lt;&gt; 0, Source!BS43, 1)</f>
        <v>21.43</v>
      </c>
      <c r="K75" s="26">
        <f>Source!R43</f>
        <v>434.17</v>
      </c>
      <c r="W75">
        <f>I75</f>
        <v>20.260000000000002</v>
      </c>
    </row>
    <row r="76" spans="1:27" ht="14.25" x14ac:dyDescent="0.2">
      <c r="A76" s="17"/>
      <c r="B76" s="18"/>
      <c r="C76" s="18" t="s">
        <v>294</v>
      </c>
      <c r="D76" s="19" t="s">
        <v>295</v>
      </c>
      <c r="E76" s="10">
        <f>Source!DN43</f>
        <v>149</v>
      </c>
      <c r="F76" s="21"/>
      <c r="G76" s="20"/>
      <c r="H76" s="10"/>
      <c r="I76" s="22">
        <f>SUM(Q72:Q75)</f>
        <v>5.1100000000000003</v>
      </c>
      <c r="J76" s="10">
        <f>Source!BZ43</f>
        <v>119</v>
      </c>
      <c r="K76" s="22">
        <f>SUM(R72:R75)</f>
        <v>87.47</v>
      </c>
    </row>
    <row r="77" spans="1:27" ht="14.25" x14ac:dyDescent="0.2">
      <c r="A77" s="17"/>
      <c r="B77" s="18"/>
      <c r="C77" s="18" t="s">
        <v>296</v>
      </c>
      <c r="D77" s="19" t="s">
        <v>295</v>
      </c>
      <c r="E77" s="10">
        <f>Source!DO43</f>
        <v>158</v>
      </c>
      <c r="F77" s="21"/>
      <c r="G77" s="20"/>
      <c r="H77" s="10"/>
      <c r="I77" s="22">
        <f>SUM(S72:S76)</f>
        <v>5.42</v>
      </c>
      <c r="J77" s="10">
        <f>Source!CA43</f>
        <v>75</v>
      </c>
      <c r="K77" s="22">
        <f>SUM(T72:T76)</f>
        <v>55.13</v>
      </c>
    </row>
    <row r="78" spans="1:27" ht="14.25" x14ac:dyDescent="0.2">
      <c r="A78" s="17"/>
      <c r="B78" s="18"/>
      <c r="C78" s="18" t="s">
        <v>301</v>
      </c>
      <c r="D78" s="19" t="s">
        <v>295</v>
      </c>
      <c r="E78" s="10">
        <f>175</f>
        <v>175</v>
      </c>
      <c r="F78" s="21"/>
      <c r="G78" s="20"/>
      <c r="H78" s="10"/>
      <c r="I78" s="22">
        <f>SUM(U72:U77)</f>
        <v>35.46</v>
      </c>
      <c r="J78" s="10">
        <f>157</f>
        <v>157</v>
      </c>
      <c r="K78" s="22">
        <f>SUM(V72:V77)</f>
        <v>681.65</v>
      </c>
    </row>
    <row r="79" spans="1:27" ht="14.25" x14ac:dyDescent="0.2">
      <c r="A79" s="17"/>
      <c r="B79" s="18"/>
      <c r="C79" s="18" t="s">
        <v>297</v>
      </c>
      <c r="D79" s="19" t="s">
        <v>298</v>
      </c>
      <c r="E79" s="10">
        <f>Source!AQ43</f>
        <v>0.26</v>
      </c>
      <c r="F79" s="21"/>
      <c r="G79" s="20" t="str">
        <f>Source!DI43</f>
        <v/>
      </c>
      <c r="H79" s="10">
        <f>Source!AV43</f>
        <v>1.0469999999999999</v>
      </c>
      <c r="I79" s="22">
        <f>Source!U43</f>
        <v>0.27222000000000002</v>
      </c>
      <c r="J79" s="10"/>
      <c r="K79" s="22"/>
    </row>
    <row r="80" spans="1:27" ht="15" x14ac:dyDescent="0.25">
      <c r="A80" s="24"/>
      <c r="B80" s="24"/>
      <c r="C80" s="24"/>
      <c r="D80" s="24"/>
      <c r="E80" s="24"/>
      <c r="F80" s="24"/>
      <c r="G80" s="24"/>
      <c r="H80" s="41">
        <f>I73+I74+I76+I77+I78</f>
        <v>579.91</v>
      </c>
      <c r="I80" s="41"/>
      <c r="J80" s="41">
        <f>K73+K74+K76+K77+K78</f>
        <v>4027.64</v>
      </c>
      <c r="K80" s="41"/>
      <c r="O80" s="23">
        <f>I73+I74+I76+I77+I78</f>
        <v>579.91</v>
      </c>
      <c r="P80" s="23">
        <f>K73+K74+K76+K77+K78</f>
        <v>4027.64</v>
      </c>
      <c r="X80">
        <f>IF(Source!BI43&lt;=1,I73+I74+I76+I77+I78-0, 0)</f>
        <v>579.91</v>
      </c>
      <c r="Y80">
        <f>IF(Source!BI43=2,I73+I74+I76+I77+I78-0, 0)</f>
        <v>0</v>
      </c>
      <c r="Z80">
        <f>IF(Source!BI43=3,I73+I74+I76+I77+I78-0, 0)</f>
        <v>0</v>
      </c>
      <c r="AA80">
        <f>IF(Source!BI43=4,I73+I74+I76+I77+I78,0)</f>
        <v>0</v>
      </c>
    </row>
    <row r="81" spans="1:27" ht="14.25" x14ac:dyDescent="0.2">
      <c r="C81" s="25" t="str">
        <f>Source!G44</f>
        <v>ЗП№5 31мх1скв.х3тр.</v>
      </c>
    </row>
    <row r="82" spans="1:27" ht="42.75" x14ac:dyDescent="0.2">
      <c r="A82" s="17" t="str">
        <f>Source!E45</f>
        <v>16</v>
      </c>
      <c r="B82" s="18" t="str">
        <f>Source!F45</f>
        <v>3.4-21-2</v>
      </c>
      <c r="C82" s="18" t="s">
        <v>58</v>
      </c>
      <c r="D82" s="19" t="str">
        <f>Source!H45</f>
        <v>1  ШТ.</v>
      </c>
      <c r="E82" s="10">
        <f>Source!I45</f>
        <v>1</v>
      </c>
      <c r="F82" s="21"/>
      <c r="G82" s="20"/>
      <c r="H82" s="10"/>
      <c r="I82" s="22"/>
      <c r="J82" s="10"/>
      <c r="K82" s="22"/>
      <c r="Q82">
        <f>ROUND((Source!DN45/100)*ROUND((ROUND((Source!AF45*Source!AV45*Source!I45),2)),2), 2)</f>
        <v>11.82</v>
      </c>
      <c r="R82">
        <f>Source!X45</f>
        <v>202.23</v>
      </c>
      <c r="S82">
        <f>ROUND((Source!DO45/100)*ROUND((ROUND((Source!AF45*Source!AV45*Source!I45),2)),2), 2)</f>
        <v>12.53</v>
      </c>
      <c r="T82">
        <f>Source!Y45</f>
        <v>127.46</v>
      </c>
      <c r="U82">
        <f>ROUND((175/100)*ROUND((ROUND((Source!AE45*Source!AV45*Source!I45),2)),2), 2)</f>
        <v>107.42</v>
      </c>
      <c r="V82">
        <f>ROUND((157/100)*ROUND(ROUND((ROUND((Source!AE45*Source!AV45*Source!I45),2)*Source!BS45),2), 2), 2)</f>
        <v>2065.13</v>
      </c>
    </row>
    <row r="83" spans="1:27" ht="14.25" x14ac:dyDescent="0.2">
      <c r="A83" s="17"/>
      <c r="B83" s="18"/>
      <c r="C83" s="18" t="s">
        <v>293</v>
      </c>
      <c r="D83" s="19"/>
      <c r="E83" s="10"/>
      <c r="F83" s="21">
        <f>Source!AO45</f>
        <v>7.57</v>
      </c>
      <c r="G83" s="20" t="str">
        <f>Source!DG45</f>
        <v/>
      </c>
      <c r="H83" s="10">
        <f>Source!AV45</f>
        <v>1.0469999999999999</v>
      </c>
      <c r="I83" s="22">
        <f>ROUND((ROUND((Source!AF45*Source!AV45*Source!I45),2)),2)</f>
        <v>7.93</v>
      </c>
      <c r="J83" s="10">
        <f>IF(Source!BA45&lt;&gt; 0, Source!BA45, 1)</f>
        <v>21.43</v>
      </c>
      <c r="K83" s="22">
        <f>Source!S45</f>
        <v>169.94</v>
      </c>
      <c r="W83">
        <f>I83</f>
        <v>7.93</v>
      </c>
    </row>
    <row r="84" spans="1:27" ht="14.25" x14ac:dyDescent="0.2">
      <c r="A84" s="17"/>
      <c r="B84" s="18"/>
      <c r="C84" s="18" t="s">
        <v>299</v>
      </c>
      <c r="D84" s="19"/>
      <c r="E84" s="10"/>
      <c r="F84" s="21">
        <f>Source!AM45</f>
        <v>1237.54</v>
      </c>
      <c r="G84" s="20" t="str">
        <f>Source!DE45</f>
        <v/>
      </c>
      <c r="H84" s="10">
        <f>Source!AV45</f>
        <v>1.0469999999999999</v>
      </c>
      <c r="I84" s="22">
        <f>(ROUND((ROUND(((Source!ET45)*Source!AV45*Source!I45),2)),2)+ROUND((ROUND(((Source!AE45-(Source!EU45))*Source!AV45*Source!I45),2)),2))</f>
        <v>1295.7</v>
      </c>
      <c r="J84" s="10">
        <f>IF(Source!BB45&lt;&gt; 0, Source!BB45, 1)</f>
        <v>6.11</v>
      </c>
      <c r="K84" s="22">
        <f>Source!Q45</f>
        <v>7916.73</v>
      </c>
    </row>
    <row r="85" spans="1:27" ht="14.25" x14ac:dyDescent="0.2">
      <c r="A85" s="17"/>
      <c r="B85" s="18"/>
      <c r="C85" s="18" t="s">
        <v>300</v>
      </c>
      <c r="D85" s="19"/>
      <c r="E85" s="10"/>
      <c r="F85" s="21">
        <f>Source!AN45</f>
        <v>58.62</v>
      </c>
      <c r="G85" s="20" t="str">
        <f>Source!DF45</f>
        <v/>
      </c>
      <c r="H85" s="10">
        <f>Source!AV45</f>
        <v>1.0469999999999999</v>
      </c>
      <c r="I85" s="26">
        <f>ROUND((ROUND((Source!AE45*Source!AV45*Source!I45),2)),2)</f>
        <v>61.38</v>
      </c>
      <c r="J85" s="10">
        <f>IF(Source!BS45&lt;&gt; 0, Source!BS45, 1)</f>
        <v>21.43</v>
      </c>
      <c r="K85" s="26">
        <f>Source!R45</f>
        <v>1315.37</v>
      </c>
      <c r="W85">
        <f>I85</f>
        <v>61.38</v>
      </c>
    </row>
    <row r="86" spans="1:27" ht="14.25" x14ac:dyDescent="0.2">
      <c r="A86" s="17"/>
      <c r="B86" s="18"/>
      <c r="C86" s="18" t="s">
        <v>294</v>
      </c>
      <c r="D86" s="19" t="s">
        <v>295</v>
      </c>
      <c r="E86" s="10">
        <f>Source!DN45</f>
        <v>149</v>
      </c>
      <c r="F86" s="21"/>
      <c r="G86" s="20"/>
      <c r="H86" s="10"/>
      <c r="I86" s="22">
        <f>SUM(Q82:Q85)</f>
        <v>11.82</v>
      </c>
      <c r="J86" s="10">
        <f>Source!BZ45</f>
        <v>119</v>
      </c>
      <c r="K86" s="22">
        <f>SUM(R82:R85)</f>
        <v>202.23</v>
      </c>
    </row>
    <row r="87" spans="1:27" ht="14.25" x14ac:dyDescent="0.2">
      <c r="A87" s="17"/>
      <c r="B87" s="18"/>
      <c r="C87" s="18" t="s">
        <v>296</v>
      </c>
      <c r="D87" s="19" t="s">
        <v>295</v>
      </c>
      <c r="E87" s="10">
        <f>Source!DO45</f>
        <v>158</v>
      </c>
      <c r="F87" s="21"/>
      <c r="G87" s="20"/>
      <c r="H87" s="10"/>
      <c r="I87" s="22">
        <f>SUM(S82:S86)</f>
        <v>12.53</v>
      </c>
      <c r="J87" s="10">
        <f>Source!CA45</f>
        <v>75</v>
      </c>
      <c r="K87" s="22">
        <f>SUM(T82:T86)</f>
        <v>127.46</v>
      </c>
    </row>
    <row r="88" spans="1:27" ht="14.25" x14ac:dyDescent="0.2">
      <c r="A88" s="17"/>
      <c r="B88" s="18"/>
      <c r="C88" s="18" t="s">
        <v>301</v>
      </c>
      <c r="D88" s="19" t="s">
        <v>295</v>
      </c>
      <c r="E88" s="10">
        <f>175</f>
        <v>175</v>
      </c>
      <c r="F88" s="21"/>
      <c r="G88" s="20"/>
      <c r="H88" s="10"/>
      <c r="I88" s="22">
        <f>SUM(U82:U87)</f>
        <v>107.42</v>
      </c>
      <c r="J88" s="10">
        <f>157</f>
        <v>157</v>
      </c>
      <c r="K88" s="22">
        <f>SUM(V82:V87)</f>
        <v>2065.13</v>
      </c>
    </row>
    <row r="89" spans="1:27" ht="14.25" x14ac:dyDescent="0.2">
      <c r="A89" s="17"/>
      <c r="B89" s="18"/>
      <c r="C89" s="18" t="s">
        <v>297</v>
      </c>
      <c r="D89" s="19" t="s">
        <v>298</v>
      </c>
      <c r="E89" s="10">
        <f>Source!AQ45</f>
        <v>0.6</v>
      </c>
      <c r="F89" s="21"/>
      <c r="G89" s="20" t="str">
        <f>Source!DI45</f>
        <v/>
      </c>
      <c r="H89" s="10">
        <f>Source!AV45</f>
        <v>1.0469999999999999</v>
      </c>
      <c r="I89" s="22">
        <f>Source!U45</f>
        <v>0.62819999999999998</v>
      </c>
      <c r="J89" s="10"/>
      <c r="K89" s="22"/>
    </row>
    <row r="90" spans="1:27" ht="15" x14ac:dyDescent="0.25">
      <c r="A90" s="24"/>
      <c r="B90" s="24"/>
      <c r="C90" s="24"/>
      <c r="D90" s="24"/>
      <c r="E90" s="24"/>
      <c r="F90" s="24"/>
      <c r="G90" s="24"/>
      <c r="H90" s="41">
        <f>I83+I84+I86+I87+I88</f>
        <v>1435.4</v>
      </c>
      <c r="I90" s="41"/>
      <c r="J90" s="41">
        <f>K83+K84+K86+K87+K88</f>
        <v>10481.489999999998</v>
      </c>
      <c r="K90" s="41"/>
      <c r="O90" s="23">
        <f>I83+I84+I86+I87+I88</f>
        <v>1435.4</v>
      </c>
      <c r="P90" s="23">
        <f>K83+K84+K86+K87+K88</f>
        <v>10481.489999999998</v>
      </c>
      <c r="X90">
        <f>IF(Source!BI45&lt;=1,I83+I84+I86+I87+I88-0, 0)</f>
        <v>1435.4</v>
      </c>
      <c r="Y90">
        <f>IF(Source!BI45=2,I83+I84+I86+I87+I88-0, 0)</f>
        <v>0</v>
      </c>
      <c r="Z90">
        <f>IF(Source!BI45=3,I83+I84+I86+I87+I88-0, 0)</f>
        <v>0</v>
      </c>
      <c r="AA90">
        <f>IF(Source!BI45=4,I83+I84+I86+I87+I88,0)</f>
        <v>0</v>
      </c>
    </row>
    <row r="91" spans="1:27" ht="114" x14ac:dyDescent="0.2">
      <c r="A91" s="17" t="str">
        <f>Source!E46</f>
        <v>17</v>
      </c>
      <c r="B91" s="18" t="str">
        <f>Source!F46</f>
        <v>3.4-23-4</v>
      </c>
      <c r="C91" s="18" t="s">
        <v>65</v>
      </c>
      <c r="D91" s="19" t="str">
        <f>Source!H46</f>
        <v>1 М</v>
      </c>
      <c r="E91" s="10">
        <f>Source!I46</f>
        <v>31</v>
      </c>
      <c r="F91" s="21"/>
      <c r="G91" s="20"/>
      <c r="H91" s="10"/>
      <c r="I91" s="22"/>
      <c r="J91" s="10"/>
      <c r="K91" s="22"/>
      <c r="Q91">
        <f>ROUND((Source!DN46/100)*ROUND((ROUND((Source!AF46*Source!AV46*Source!I46),2)),2), 2)</f>
        <v>1478.39</v>
      </c>
      <c r="R91">
        <f>Source!X46</f>
        <v>25303.040000000001</v>
      </c>
      <c r="S91">
        <f>ROUND((Source!DO46/100)*ROUND((ROUND((Source!AF46*Source!AV46*Source!I46),2)),2), 2)</f>
        <v>1567.69</v>
      </c>
      <c r="T91">
        <f>Source!Y46</f>
        <v>15947.3</v>
      </c>
      <c r="U91">
        <f>ROUND((175/100)*ROUND((ROUND((Source!AE46*Source!AV46*Source!I46),2)),2), 2)</f>
        <v>6318.97</v>
      </c>
      <c r="V91">
        <f>ROUND((157/100)*ROUND(ROUND((ROUND((Source!AE46*Source!AV46*Source!I46),2)*Source!BS46),2), 2), 2)</f>
        <v>121487.07</v>
      </c>
    </row>
    <row r="92" spans="1:27" ht="14.25" x14ac:dyDescent="0.2">
      <c r="A92" s="17"/>
      <c r="B92" s="18"/>
      <c r="C92" s="18" t="s">
        <v>293</v>
      </c>
      <c r="D92" s="19"/>
      <c r="E92" s="10"/>
      <c r="F92" s="21">
        <f>Source!AO46</f>
        <v>30.57</v>
      </c>
      <c r="G92" s="20" t="str">
        <f>Source!DG46</f>
        <v/>
      </c>
      <c r="H92" s="10">
        <f>Source!AV46</f>
        <v>1.0469999999999999</v>
      </c>
      <c r="I92" s="22">
        <f>ROUND((ROUND((Source!AF46*Source!AV46*Source!I46),2)),2)</f>
        <v>992.21</v>
      </c>
      <c r="J92" s="10">
        <f>IF(Source!BA46&lt;&gt; 0, Source!BA46, 1)</f>
        <v>21.43</v>
      </c>
      <c r="K92" s="22">
        <f>Source!S46</f>
        <v>21263.06</v>
      </c>
      <c r="W92">
        <f>I92</f>
        <v>992.21</v>
      </c>
    </row>
    <row r="93" spans="1:27" ht="14.25" x14ac:dyDescent="0.2">
      <c r="A93" s="17"/>
      <c r="B93" s="18"/>
      <c r="C93" s="18" t="s">
        <v>299</v>
      </c>
      <c r="D93" s="19"/>
      <c r="E93" s="10"/>
      <c r="F93" s="21">
        <f>Source!AM46</f>
        <v>2005.14</v>
      </c>
      <c r="G93" s="20" t="str">
        <f>Source!DE46</f>
        <v/>
      </c>
      <c r="H93" s="10">
        <f>Source!AV46</f>
        <v>1.0469999999999999</v>
      </c>
      <c r="I93" s="22">
        <f>(ROUND((ROUND(((Source!ET46)*Source!AV46*Source!I46),2)),2)+ROUND((ROUND(((Source!AE46-(Source!EU46))*Source!AV46*Source!I46),2)),2))</f>
        <v>65080.83</v>
      </c>
      <c r="J93" s="10">
        <f>IF(Source!BB46&lt;&gt; 0, Source!BB46, 1)</f>
        <v>6.26</v>
      </c>
      <c r="K93" s="22">
        <f>Source!Q46</f>
        <v>407406</v>
      </c>
    </row>
    <row r="94" spans="1:27" ht="14.25" x14ac:dyDescent="0.2">
      <c r="A94" s="17"/>
      <c r="B94" s="18"/>
      <c r="C94" s="18" t="s">
        <v>300</v>
      </c>
      <c r="D94" s="19"/>
      <c r="E94" s="10"/>
      <c r="F94" s="21">
        <f>Source!AN46</f>
        <v>111.25</v>
      </c>
      <c r="G94" s="20" t="str">
        <f>Source!DF46</f>
        <v/>
      </c>
      <c r="H94" s="10">
        <f>Source!AV46</f>
        <v>1.0469999999999999</v>
      </c>
      <c r="I94" s="26">
        <f>ROUND((ROUND((Source!AE46*Source!AV46*Source!I46),2)),2)</f>
        <v>3610.84</v>
      </c>
      <c r="J94" s="10">
        <f>IF(Source!BS46&lt;&gt; 0, Source!BS46, 1)</f>
        <v>21.43</v>
      </c>
      <c r="K94" s="26">
        <f>Source!R46</f>
        <v>77380.3</v>
      </c>
      <c r="W94">
        <f>I94</f>
        <v>3610.84</v>
      </c>
    </row>
    <row r="95" spans="1:27" ht="14.25" x14ac:dyDescent="0.2">
      <c r="A95" s="17"/>
      <c r="B95" s="18"/>
      <c r="C95" s="18" t="s">
        <v>302</v>
      </c>
      <c r="D95" s="19"/>
      <c r="E95" s="10"/>
      <c r="F95" s="21">
        <f>Source!AL46</f>
        <v>35.92</v>
      </c>
      <c r="G95" s="20" t="str">
        <f>Source!DD46</f>
        <v/>
      </c>
      <c r="H95" s="10">
        <f>Source!AW46</f>
        <v>1.079</v>
      </c>
      <c r="I95" s="22">
        <f>ROUND((ROUND((Source!AC46*Source!AW46*Source!I46),2)),2)</f>
        <v>1201.49</v>
      </c>
      <c r="J95" s="10">
        <f>IF(Source!BC46&lt;&gt; 0, Source!BC46, 1)</f>
        <v>4.18</v>
      </c>
      <c r="K95" s="22">
        <f>Source!P46</f>
        <v>5022.2299999999996</v>
      </c>
    </row>
    <row r="96" spans="1:27" ht="99.75" x14ac:dyDescent="0.2">
      <c r="A96" s="17" t="str">
        <f>Source!E47</f>
        <v>17,1</v>
      </c>
      <c r="B96" s="18" t="str">
        <f>Source!F47</f>
        <v>1.1-1-1835</v>
      </c>
      <c r="C96" s="18" t="s">
        <v>72</v>
      </c>
      <c r="D96" s="19" t="str">
        <f>Source!H47</f>
        <v>кг</v>
      </c>
      <c r="E96" s="10">
        <f>Source!I47</f>
        <v>5555.2</v>
      </c>
      <c r="F96" s="21">
        <f>Source!AK47</f>
        <v>11.3</v>
      </c>
      <c r="G96" s="27" t="s">
        <v>6</v>
      </c>
      <c r="H96" s="10">
        <f>Source!AW47</f>
        <v>1.079</v>
      </c>
      <c r="I96" s="22">
        <f>ROUND((ROUND((Source!AC47*Source!AW47*Source!I47),2)),2)+(ROUND((ROUND(((Source!ET47)*Source!AV47*Source!I47),2)),2)+ROUND((ROUND(((Source!AE47-(Source!EU47))*Source!AV47*Source!I47),2)),2))+ROUND((ROUND((Source!AF47*Source!AV47*Source!I47),2)),2)</f>
        <v>67732.89</v>
      </c>
      <c r="J96" s="10">
        <f>IF(Source!BC47&lt;&gt; 0, Source!BC47, 1)</f>
        <v>4.0199999999999996</v>
      </c>
      <c r="K96" s="22">
        <f>Source!O47</f>
        <v>272286.21999999997</v>
      </c>
      <c r="Q96">
        <f>ROUND((Source!DN47/100)*ROUND((ROUND((Source!AF47*Source!AV47*Source!I47),2)),2), 2)</f>
        <v>0</v>
      </c>
      <c r="R96">
        <f>Source!X47</f>
        <v>0</v>
      </c>
      <c r="S96">
        <f>ROUND((Source!DO47/100)*ROUND((ROUND((Source!AF47*Source!AV47*Source!I47),2)),2), 2)</f>
        <v>0</v>
      </c>
      <c r="T96">
        <f>Source!Y47</f>
        <v>0</v>
      </c>
      <c r="U96">
        <f>ROUND((175/100)*ROUND((ROUND((Source!AE47*Source!AV47*Source!I47),2)),2), 2)</f>
        <v>0</v>
      </c>
      <c r="V96">
        <f>ROUND((157/100)*ROUND(ROUND((ROUND((Source!AE47*Source!AV47*Source!I47),2)*Source!BS47),2), 2), 2)</f>
        <v>0</v>
      </c>
      <c r="X96">
        <f>IF(Source!BI47&lt;=1,I96, 0)</f>
        <v>67732.89</v>
      </c>
      <c r="Y96">
        <f>IF(Source!BI47=2,I96, 0)</f>
        <v>0</v>
      </c>
      <c r="Z96">
        <f>IF(Source!BI47=3,I96, 0)</f>
        <v>0</v>
      </c>
      <c r="AA96">
        <f>IF(Source!BI47=4,I96, 0)</f>
        <v>0</v>
      </c>
    </row>
    <row r="97" spans="1:27" ht="85.5" x14ac:dyDescent="0.2">
      <c r="A97" s="17" t="str">
        <f>Source!E48</f>
        <v>17,2</v>
      </c>
      <c r="B97" s="18" t="str">
        <f>Source!F48</f>
        <v>1.12-5-708</v>
      </c>
      <c r="C97" s="18" t="s">
        <v>77</v>
      </c>
      <c r="D97" s="19" t="str">
        <f>Source!H48</f>
        <v>м</v>
      </c>
      <c r="E97" s="10">
        <f>Source!I48</f>
        <v>99</v>
      </c>
      <c r="F97" s="21">
        <f>Source!AK48</f>
        <v>707.02</v>
      </c>
      <c r="G97" s="27" t="s">
        <v>6</v>
      </c>
      <c r="H97" s="10">
        <f>Source!AW48</f>
        <v>1.079</v>
      </c>
      <c r="I97" s="22">
        <f>ROUND((ROUND((Source!AC48*Source!AW48*Source!I48),2)),2)+(ROUND((ROUND(((Source!ET48)*Source!AV48*Source!I48),2)),2)+ROUND((ROUND(((Source!AE48-(Source!EU48))*Source!AV48*Source!I48),2)),2))+ROUND((ROUND((Source!AF48*Source!AV48*Source!I48),2)),2)</f>
        <v>75524.58</v>
      </c>
      <c r="J97" s="10">
        <f>IF(Source!BC48&lt;&gt; 0, Source!BC48, 1)</f>
        <v>2.98</v>
      </c>
      <c r="K97" s="22">
        <f>Source!O48</f>
        <v>225063.25</v>
      </c>
      <c r="Q97">
        <f>ROUND((Source!DN48/100)*ROUND((ROUND((Source!AF48*Source!AV48*Source!I48),2)),2), 2)</f>
        <v>0</v>
      </c>
      <c r="R97">
        <f>Source!X48</f>
        <v>0</v>
      </c>
      <c r="S97">
        <f>ROUND((Source!DO48/100)*ROUND((ROUND((Source!AF48*Source!AV48*Source!I48),2)),2), 2)</f>
        <v>0</v>
      </c>
      <c r="T97">
        <f>Source!Y48</f>
        <v>0</v>
      </c>
      <c r="U97">
        <f>ROUND((175/100)*ROUND((ROUND((Source!AE48*Source!AV48*Source!I48),2)),2), 2)</f>
        <v>0</v>
      </c>
      <c r="V97">
        <f>ROUND((157/100)*ROUND(ROUND((ROUND((Source!AE48*Source!AV48*Source!I48),2)*Source!BS48),2), 2), 2)</f>
        <v>0</v>
      </c>
      <c r="X97">
        <f>IF(Source!BI48&lt;=1,I97, 0)</f>
        <v>75524.58</v>
      </c>
      <c r="Y97">
        <f>IF(Source!BI48=2,I97, 0)</f>
        <v>0</v>
      </c>
      <c r="Z97">
        <f>IF(Source!BI48=3,I97, 0)</f>
        <v>0</v>
      </c>
      <c r="AA97">
        <f>IF(Source!BI48=4,I97, 0)</f>
        <v>0</v>
      </c>
    </row>
    <row r="98" spans="1:27" ht="42.75" x14ac:dyDescent="0.2">
      <c r="A98" s="17" t="str">
        <f>Source!E49</f>
        <v>17,3</v>
      </c>
      <c r="B98" s="18" t="str">
        <f>Source!F49</f>
        <v>1.1-1-3290</v>
      </c>
      <c r="C98" s="18" t="s">
        <v>82</v>
      </c>
      <c r="D98" s="19" t="str">
        <f>Source!H49</f>
        <v>л</v>
      </c>
      <c r="E98" s="10">
        <f>Source!I49</f>
        <v>304.34559999999999</v>
      </c>
      <c r="F98" s="21">
        <f>Source!AK49</f>
        <v>95.37</v>
      </c>
      <c r="G98" s="27" t="s">
        <v>6</v>
      </c>
      <c r="H98" s="10">
        <f>Source!AW49</f>
        <v>1.079</v>
      </c>
      <c r="I98" s="22">
        <f>ROUND((ROUND((Source!AC49*Source!AW49*Source!I49),2)),2)+(ROUND((ROUND(((Source!ET49)*Source!AV49*Source!I49),2)),2)+ROUND((ROUND(((Source!AE49-(Source!EU49))*Source!AV49*Source!I49),2)),2))+ROUND((ROUND((Source!AF49*Source!AV49*Source!I49),2)),2)</f>
        <v>31318.45</v>
      </c>
      <c r="J98" s="10">
        <f>IF(Source!BC49&lt;&gt; 0, Source!BC49, 1)</f>
        <v>4.6900000000000004</v>
      </c>
      <c r="K98" s="22">
        <f>Source!O49</f>
        <v>146883.53</v>
      </c>
      <c r="Q98">
        <f>ROUND((Source!DN49/100)*ROUND((ROUND((Source!AF49*Source!AV49*Source!I49),2)),2), 2)</f>
        <v>0</v>
      </c>
      <c r="R98">
        <f>Source!X49</f>
        <v>0</v>
      </c>
      <c r="S98">
        <f>ROUND((Source!DO49/100)*ROUND((ROUND((Source!AF49*Source!AV49*Source!I49),2)),2), 2)</f>
        <v>0</v>
      </c>
      <c r="T98">
        <f>Source!Y49</f>
        <v>0</v>
      </c>
      <c r="U98">
        <f>ROUND((175/100)*ROUND((ROUND((Source!AE49*Source!AV49*Source!I49),2)),2), 2)</f>
        <v>0</v>
      </c>
      <c r="V98">
        <f>ROUND((157/100)*ROUND(ROUND((ROUND((Source!AE49*Source!AV49*Source!I49),2)*Source!BS49),2), 2), 2)</f>
        <v>0</v>
      </c>
      <c r="X98">
        <f>IF(Source!BI49&lt;=1,I98, 0)</f>
        <v>31318.45</v>
      </c>
      <c r="Y98">
        <f>IF(Source!BI49=2,I98, 0)</f>
        <v>0</v>
      </c>
      <c r="Z98">
        <f>IF(Source!BI49=3,I98, 0)</f>
        <v>0</v>
      </c>
      <c r="AA98">
        <f>IF(Source!BI49=4,I98, 0)</f>
        <v>0</v>
      </c>
    </row>
    <row r="99" spans="1:27" ht="14.25" x14ac:dyDescent="0.2">
      <c r="A99" s="17"/>
      <c r="B99" s="18"/>
      <c r="C99" s="18" t="s">
        <v>294</v>
      </c>
      <c r="D99" s="19" t="s">
        <v>295</v>
      </c>
      <c r="E99" s="10">
        <f>Source!DN46</f>
        <v>149</v>
      </c>
      <c r="F99" s="21"/>
      <c r="G99" s="20"/>
      <c r="H99" s="10"/>
      <c r="I99" s="22">
        <f>SUM(Q91:Q98)</f>
        <v>1478.39</v>
      </c>
      <c r="J99" s="10">
        <f>Source!BZ46</f>
        <v>119</v>
      </c>
      <c r="K99" s="22">
        <f>SUM(R91:R98)</f>
        <v>25303.040000000001</v>
      </c>
    </row>
    <row r="100" spans="1:27" ht="14.25" x14ac:dyDescent="0.2">
      <c r="A100" s="17"/>
      <c r="B100" s="18"/>
      <c r="C100" s="18" t="s">
        <v>296</v>
      </c>
      <c r="D100" s="19" t="s">
        <v>295</v>
      </c>
      <c r="E100" s="10">
        <f>Source!DO46</f>
        <v>158</v>
      </c>
      <c r="F100" s="21"/>
      <c r="G100" s="20"/>
      <c r="H100" s="10"/>
      <c r="I100" s="22">
        <f>SUM(S91:S99)</f>
        <v>1567.69</v>
      </c>
      <c r="J100" s="10">
        <f>Source!CA46</f>
        <v>75</v>
      </c>
      <c r="K100" s="22">
        <f>SUM(T91:T99)</f>
        <v>15947.3</v>
      </c>
    </row>
    <row r="101" spans="1:27" ht="14.25" x14ac:dyDescent="0.2">
      <c r="A101" s="17"/>
      <c r="B101" s="18"/>
      <c r="C101" s="18" t="s">
        <v>301</v>
      </c>
      <c r="D101" s="19" t="s">
        <v>295</v>
      </c>
      <c r="E101" s="10">
        <f>175</f>
        <v>175</v>
      </c>
      <c r="F101" s="21"/>
      <c r="G101" s="20"/>
      <c r="H101" s="10"/>
      <c r="I101" s="22">
        <f>SUM(U91:U100)</f>
        <v>6318.97</v>
      </c>
      <c r="J101" s="10">
        <f>157</f>
        <v>157</v>
      </c>
      <c r="K101" s="22">
        <f>SUM(V91:V100)</f>
        <v>121487.07</v>
      </c>
    </row>
    <row r="102" spans="1:27" ht="14.25" x14ac:dyDescent="0.2">
      <c r="A102" s="17"/>
      <c r="B102" s="18"/>
      <c r="C102" s="18" t="s">
        <v>297</v>
      </c>
      <c r="D102" s="19" t="s">
        <v>298</v>
      </c>
      <c r="E102" s="10">
        <f>Source!AQ46</f>
        <v>2.2200000000000002</v>
      </c>
      <c r="F102" s="21"/>
      <c r="G102" s="20" t="str">
        <f>Source!DI46</f>
        <v/>
      </c>
      <c r="H102" s="10">
        <f>Source!AV46</f>
        <v>1.0469999999999999</v>
      </c>
      <c r="I102" s="22">
        <f>Source!U46</f>
        <v>72.054539999999989</v>
      </c>
      <c r="J102" s="10"/>
      <c r="K102" s="22"/>
    </row>
    <row r="103" spans="1:27" ht="15" x14ac:dyDescent="0.25">
      <c r="A103" s="24"/>
      <c r="B103" s="24"/>
      <c r="C103" s="24"/>
      <c r="D103" s="24"/>
      <c r="E103" s="24"/>
      <c r="F103" s="24"/>
      <c r="G103" s="24"/>
      <c r="H103" s="41">
        <f>I92+I93+I95+I99+I100+I101+SUM(I96:I98)</f>
        <v>251215.50000000003</v>
      </c>
      <c r="I103" s="41"/>
      <c r="J103" s="41">
        <f>K92+K93+K95+K99+K100+K101+SUM(K96:K98)</f>
        <v>1240661.7</v>
      </c>
      <c r="K103" s="41"/>
      <c r="O103" s="23">
        <f>I92+I93+I95+I99+I100+I101+SUM(I96:I98)</f>
        <v>251215.50000000003</v>
      </c>
      <c r="P103" s="23">
        <f>K92+K93+K95+K99+K100+K101+SUM(K96:K98)</f>
        <v>1240661.7</v>
      </c>
      <c r="X103">
        <f>IF(Source!BI46&lt;=1,I92+I93+I95+I99+I100+I101-0, 0)</f>
        <v>76639.580000000016</v>
      </c>
      <c r="Y103">
        <f>IF(Source!BI46=2,I92+I93+I95+I99+I100+I101-0, 0)</f>
        <v>0</v>
      </c>
      <c r="Z103">
        <f>IF(Source!BI46=3,I92+I93+I95+I99+I100+I101-0, 0)</f>
        <v>0</v>
      </c>
      <c r="AA103">
        <f>IF(Source!BI46=4,I92+I93+I95+I99+I100+I101,0)</f>
        <v>0</v>
      </c>
    </row>
    <row r="104" spans="1:27" ht="28.5" x14ac:dyDescent="0.2">
      <c r="A104" s="17" t="str">
        <f>Source!E50</f>
        <v>19</v>
      </c>
      <c r="B104" s="18" t="str">
        <f>Source!F50</f>
        <v>3.22-56-2</v>
      </c>
      <c r="C104" s="18" t="s">
        <v>87</v>
      </c>
      <c r="D104" s="19" t="str">
        <f>Source!H50</f>
        <v>1 стык</v>
      </c>
      <c r="E104" s="10">
        <f>Source!I50</f>
        <v>6</v>
      </c>
      <c r="F104" s="21"/>
      <c r="G104" s="20"/>
      <c r="H104" s="10"/>
      <c r="I104" s="22"/>
      <c r="J104" s="10"/>
      <c r="K104" s="22"/>
      <c r="Q104">
        <f>ROUND((Source!DN50/100)*ROUND((ROUND((Source!AF50*Source!AV50*Source!I50),2)),2), 2)</f>
        <v>0</v>
      </c>
      <c r="R104">
        <f>Source!X50</f>
        <v>0</v>
      </c>
      <c r="S104">
        <f>ROUND((Source!DO50/100)*ROUND((ROUND((Source!AF50*Source!AV50*Source!I50),2)),2), 2)</f>
        <v>0</v>
      </c>
      <c r="T104">
        <f>Source!Y50</f>
        <v>0</v>
      </c>
      <c r="U104">
        <f>ROUND((175/100)*ROUND((ROUND((Source!AE50*Source!AV50*Source!I50),2)),2), 2)</f>
        <v>6.49</v>
      </c>
      <c r="V104">
        <f>ROUND((157/100)*ROUND(ROUND((ROUND((Source!AE50*Source!AV50*Source!I50),2)*Source!BS50),2), 2), 2)</f>
        <v>124.83</v>
      </c>
    </row>
    <row r="105" spans="1:27" ht="14.25" x14ac:dyDescent="0.2">
      <c r="A105" s="17"/>
      <c r="B105" s="18"/>
      <c r="C105" s="18" t="s">
        <v>299</v>
      </c>
      <c r="D105" s="19"/>
      <c r="E105" s="10"/>
      <c r="F105" s="21">
        <f>Source!AM50</f>
        <v>25.7</v>
      </c>
      <c r="G105" s="20" t="str">
        <f>Source!DE50</f>
        <v/>
      </c>
      <c r="H105" s="10">
        <f>Source!AV50</f>
        <v>1.0669999999999999</v>
      </c>
      <c r="I105" s="22">
        <f>(ROUND((ROUND(((Source!ET50)*Source!AV50*Source!I50),2)),2)+ROUND((ROUND(((Source!AE50-(Source!EU50))*Source!AV50*Source!I50),2)),2))</f>
        <v>164.53</v>
      </c>
      <c r="J105" s="10">
        <f>IF(Source!BB50&lt;&gt; 0, Source!BB50, 1)</f>
        <v>2.37</v>
      </c>
      <c r="K105" s="22">
        <f>Source!Q50</f>
        <v>389.94</v>
      </c>
    </row>
    <row r="106" spans="1:27" ht="14.25" x14ac:dyDescent="0.2">
      <c r="A106" s="17"/>
      <c r="B106" s="18"/>
      <c r="C106" s="18" t="s">
        <v>300</v>
      </c>
      <c r="D106" s="19"/>
      <c r="E106" s="10"/>
      <c r="F106" s="21">
        <f>Source!AN50</f>
        <v>0.57999999999999996</v>
      </c>
      <c r="G106" s="20" t="str">
        <f>Source!DF50</f>
        <v/>
      </c>
      <c r="H106" s="10">
        <f>Source!AV50</f>
        <v>1.0669999999999999</v>
      </c>
      <c r="I106" s="26">
        <f>ROUND((ROUND((Source!AE50*Source!AV50*Source!I50),2)),2)</f>
        <v>3.71</v>
      </c>
      <c r="J106" s="10">
        <f>IF(Source!BS50&lt;&gt; 0, Source!BS50, 1)</f>
        <v>21.43</v>
      </c>
      <c r="K106" s="26">
        <f>Source!R50</f>
        <v>79.510000000000005</v>
      </c>
      <c r="W106">
        <f>I106</f>
        <v>3.71</v>
      </c>
    </row>
    <row r="107" spans="1:27" ht="14.25" x14ac:dyDescent="0.2">
      <c r="A107" s="17"/>
      <c r="B107" s="18"/>
      <c r="C107" s="18" t="s">
        <v>301</v>
      </c>
      <c r="D107" s="19" t="s">
        <v>295</v>
      </c>
      <c r="E107" s="10">
        <f>175</f>
        <v>175</v>
      </c>
      <c r="F107" s="21"/>
      <c r="G107" s="20"/>
      <c r="H107" s="10"/>
      <c r="I107" s="22">
        <f>SUM(U104:U106)</f>
        <v>6.49</v>
      </c>
      <c r="J107" s="10">
        <f>157</f>
        <v>157</v>
      </c>
      <c r="K107" s="22">
        <f>SUM(V104:V106)</f>
        <v>124.83</v>
      </c>
    </row>
    <row r="108" spans="1:27" ht="15" x14ac:dyDescent="0.25">
      <c r="A108" s="24"/>
      <c r="B108" s="24"/>
      <c r="C108" s="24"/>
      <c r="D108" s="24"/>
      <c r="E108" s="24"/>
      <c r="F108" s="24"/>
      <c r="G108" s="24"/>
      <c r="H108" s="41">
        <f>I105+I107</f>
        <v>171.02</v>
      </c>
      <c r="I108" s="41"/>
      <c r="J108" s="41">
        <f>K105+K107</f>
        <v>514.77</v>
      </c>
      <c r="K108" s="41"/>
      <c r="O108" s="23">
        <f>I105+I107</f>
        <v>171.02</v>
      </c>
      <c r="P108" s="23">
        <f>K105+K107</f>
        <v>514.77</v>
      </c>
      <c r="X108">
        <f>IF(Source!BI50&lt;=1,I105+I107-0, 0)</f>
        <v>171.02</v>
      </c>
      <c r="Y108">
        <f>IF(Source!BI50=2,I105+I107-0, 0)</f>
        <v>0</v>
      </c>
      <c r="Z108">
        <f>IF(Source!BI50=3,I105+I107-0, 0)</f>
        <v>0</v>
      </c>
      <c r="AA108">
        <f>IF(Source!BI50=4,I105+I107,0)</f>
        <v>0</v>
      </c>
    </row>
    <row r="109" spans="1:27" ht="42.75" x14ac:dyDescent="0.2">
      <c r="A109" s="17" t="str">
        <f>Source!E51</f>
        <v>20</v>
      </c>
      <c r="B109" s="18" t="str">
        <f>Source!F51</f>
        <v>3.4-21-4</v>
      </c>
      <c r="C109" s="18" t="s">
        <v>94</v>
      </c>
      <c r="D109" s="19" t="str">
        <f>Source!H51</f>
        <v>1  ШТ.</v>
      </c>
      <c r="E109" s="10">
        <f>Source!I51</f>
        <v>1</v>
      </c>
      <c r="F109" s="21"/>
      <c r="G109" s="20"/>
      <c r="H109" s="10"/>
      <c r="I109" s="22"/>
      <c r="J109" s="10"/>
      <c r="K109" s="22"/>
      <c r="Q109">
        <f>ROUND((Source!DN51/100)*ROUND((ROUND((Source!AF51*Source!AV51*Source!I51),2)),2), 2)</f>
        <v>5.1100000000000003</v>
      </c>
      <c r="R109">
        <f>Source!X51</f>
        <v>87.47</v>
      </c>
      <c r="S109">
        <f>ROUND((Source!DO51/100)*ROUND((ROUND((Source!AF51*Source!AV51*Source!I51),2)),2), 2)</f>
        <v>5.42</v>
      </c>
      <c r="T109">
        <f>Source!Y51</f>
        <v>55.13</v>
      </c>
      <c r="U109">
        <f>ROUND((175/100)*ROUND((ROUND((Source!AE51*Source!AV51*Source!I51),2)),2), 2)</f>
        <v>35.46</v>
      </c>
      <c r="V109">
        <f>ROUND((157/100)*ROUND(ROUND((ROUND((Source!AE51*Source!AV51*Source!I51),2)*Source!BS51),2), 2), 2)</f>
        <v>681.65</v>
      </c>
    </row>
    <row r="110" spans="1:27" ht="14.25" x14ac:dyDescent="0.2">
      <c r="A110" s="17"/>
      <c r="B110" s="18"/>
      <c r="C110" s="18" t="s">
        <v>293</v>
      </c>
      <c r="D110" s="19"/>
      <c r="E110" s="10"/>
      <c r="F110" s="21">
        <f>Source!AO51</f>
        <v>3.28</v>
      </c>
      <c r="G110" s="20" t="str">
        <f>Source!DG51</f>
        <v/>
      </c>
      <c r="H110" s="10">
        <f>Source!AV51</f>
        <v>1.0469999999999999</v>
      </c>
      <c r="I110" s="22">
        <f>ROUND((ROUND((Source!AF51*Source!AV51*Source!I51),2)),2)</f>
        <v>3.43</v>
      </c>
      <c r="J110" s="10">
        <f>IF(Source!BA51&lt;&gt; 0, Source!BA51, 1)</f>
        <v>21.43</v>
      </c>
      <c r="K110" s="22">
        <f>Source!S51</f>
        <v>73.5</v>
      </c>
      <c r="W110">
        <f>I110</f>
        <v>3.43</v>
      </c>
    </row>
    <row r="111" spans="1:27" ht="14.25" x14ac:dyDescent="0.2">
      <c r="A111" s="17"/>
      <c r="B111" s="18"/>
      <c r="C111" s="18" t="s">
        <v>299</v>
      </c>
      <c r="D111" s="19"/>
      <c r="E111" s="10"/>
      <c r="F111" s="21">
        <f>Source!AM51</f>
        <v>506.68</v>
      </c>
      <c r="G111" s="20" t="str">
        <f>Source!DE51</f>
        <v/>
      </c>
      <c r="H111" s="10">
        <f>Source!AV51</f>
        <v>1.0469999999999999</v>
      </c>
      <c r="I111" s="22">
        <f>(ROUND((ROUND(((Source!ET51)*Source!AV51*Source!I51),2)),2)+ROUND((ROUND(((Source!AE51-(Source!EU51))*Source!AV51*Source!I51),2)),2))</f>
        <v>530.49</v>
      </c>
      <c r="J111" s="10">
        <f>IF(Source!BB51&lt;&gt; 0, Source!BB51, 1)</f>
        <v>5.9</v>
      </c>
      <c r="K111" s="22">
        <f>Source!Q51</f>
        <v>3129.89</v>
      </c>
    </row>
    <row r="112" spans="1:27" ht="14.25" x14ac:dyDescent="0.2">
      <c r="A112" s="17"/>
      <c r="B112" s="18"/>
      <c r="C112" s="18" t="s">
        <v>300</v>
      </c>
      <c r="D112" s="19"/>
      <c r="E112" s="10"/>
      <c r="F112" s="21">
        <f>Source!AN51</f>
        <v>19.350000000000001</v>
      </c>
      <c r="G112" s="20" t="str">
        <f>Source!DF51</f>
        <v/>
      </c>
      <c r="H112" s="10">
        <f>Source!AV51</f>
        <v>1.0469999999999999</v>
      </c>
      <c r="I112" s="26">
        <f>ROUND((ROUND((Source!AE51*Source!AV51*Source!I51),2)),2)</f>
        <v>20.260000000000002</v>
      </c>
      <c r="J112" s="10">
        <f>IF(Source!BS51&lt;&gt; 0, Source!BS51, 1)</f>
        <v>21.43</v>
      </c>
      <c r="K112" s="26">
        <f>Source!R51</f>
        <v>434.17</v>
      </c>
      <c r="W112">
        <f>I112</f>
        <v>20.260000000000002</v>
      </c>
    </row>
    <row r="113" spans="1:27" ht="14.25" x14ac:dyDescent="0.2">
      <c r="A113" s="17"/>
      <c r="B113" s="18"/>
      <c r="C113" s="18" t="s">
        <v>294</v>
      </c>
      <c r="D113" s="19" t="s">
        <v>295</v>
      </c>
      <c r="E113" s="10">
        <f>Source!DN51</f>
        <v>149</v>
      </c>
      <c r="F113" s="21"/>
      <c r="G113" s="20"/>
      <c r="H113" s="10"/>
      <c r="I113" s="22">
        <f>SUM(Q109:Q112)</f>
        <v>5.1100000000000003</v>
      </c>
      <c r="J113" s="10">
        <f>Source!BZ51</f>
        <v>119</v>
      </c>
      <c r="K113" s="22">
        <f>SUM(R109:R112)</f>
        <v>87.47</v>
      </c>
    </row>
    <row r="114" spans="1:27" ht="14.25" x14ac:dyDescent="0.2">
      <c r="A114" s="17"/>
      <c r="B114" s="18"/>
      <c r="C114" s="18" t="s">
        <v>296</v>
      </c>
      <c r="D114" s="19" t="s">
        <v>295</v>
      </c>
      <c r="E114" s="10">
        <f>Source!DO51</f>
        <v>158</v>
      </c>
      <c r="F114" s="21"/>
      <c r="G114" s="20"/>
      <c r="H114" s="10"/>
      <c r="I114" s="22">
        <f>SUM(S109:S113)</f>
        <v>5.42</v>
      </c>
      <c r="J114" s="10">
        <f>Source!CA51</f>
        <v>75</v>
      </c>
      <c r="K114" s="22">
        <f>SUM(T109:T113)</f>
        <v>55.13</v>
      </c>
    </row>
    <row r="115" spans="1:27" ht="14.25" x14ac:dyDescent="0.2">
      <c r="A115" s="17"/>
      <c r="B115" s="18"/>
      <c r="C115" s="18" t="s">
        <v>301</v>
      </c>
      <c r="D115" s="19" t="s">
        <v>295</v>
      </c>
      <c r="E115" s="10">
        <f>175</f>
        <v>175</v>
      </c>
      <c r="F115" s="21"/>
      <c r="G115" s="20"/>
      <c r="H115" s="10"/>
      <c r="I115" s="22">
        <f>SUM(U109:U114)</f>
        <v>35.46</v>
      </c>
      <c r="J115" s="10">
        <f>157</f>
        <v>157</v>
      </c>
      <c r="K115" s="22">
        <f>SUM(V109:V114)</f>
        <v>681.65</v>
      </c>
    </row>
    <row r="116" spans="1:27" ht="14.25" x14ac:dyDescent="0.2">
      <c r="A116" s="17"/>
      <c r="B116" s="18"/>
      <c r="C116" s="18" t="s">
        <v>297</v>
      </c>
      <c r="D116" s="19" t="s">
        <v>298</v>
      </c>
      <c r="E116" s="10">
        <f>Source!AQ51</f>
        <v>0.26</v>
      </c>
      <c r="F116" s="21"/>
      <c r="G116" s="20" t="str">
        <f>Source!DI51</f>
        <v/>
      </c>
      <c r="H116" s="10">
        <f>Source!AV51</f>
        <v>1.0469999999999999</v>
      </c>
      <c r="I116" s="22">
        <f>Source!U51</f>
        <v>0.27222000000000002</v>
      </c>
      <c r="J116" s="10"/>
      <c r="K116" s="22"/>
    </row>
    <row r="117" spans="1:27" ht="15" x14ac:dyDescent="0.25">
      <c r="A117" s="24"/>
      <c r="B117" s="24"/>
      <c r="C117" s="24"/>
      <c r="D117" s="24"/>
      <c r="E117" s="24"/>
      <c r="F117" s="24"/>
      <c r="G117" s="24"/>
      <c r="H117" s="41">
        <f>I110+I111+I113+I114+I115</f>
        <v>579.91</v>
      </c>
      <c r="I117" s="41"/>
      <c r="J117" s="41">
        <f>K110+K111+K113+K114+K115</f>
        <v>4027.64</v>
      </c>
      <c r="K117" s="41"/>
      <c r="O117" s="23">
        <f>I110+I111+I113+I114+I115</f>
        <v>579.91</v>
      </c>
      <c r="P117" s="23">
        <f>K110+K111+K113+K114+K115</f>
        <v>4027.64</v>
      </c>
      <c r="X117">
        <f>IF(Source!BI51&lt;=1,I110+I111+I113+I114+I115-0, 0)</f>
        <v>579.91</v>
      </c>
      <c r="Y117">
        <f>IF(Source!BI51=2,I110+I111+I113+I114+I115-0, 0)</f>
        <v>0</v>
      </c>
      <c r="Z117">
        <f>IF(Source!BI51=3,I110+I111+I113+I114+I115-0, 0)</f>
        <v>0</v>
      </c>
      <c r="AA117">
        <f>IF(Source!BI51=4,I110+I111+I113+I114+I115,0)</f>
        <v>0</v>
      </c>
    </row>
    <row r="118" spans="1:27" ht="14.25" x14ac:dyDescent="0.2">
      <c r="C118" s="25" t="str">
        <f>Source!G52</f>
        <v>ЗП№6 136мх1скв.х3тр.</v>
      </c>
    </row>
    <row r="119" spans="1:27" ht="42.75" x14ac:dyDescent="0.2">
      <c r="A119" s="17" t="str">
        <f>Source!E53</f>
        <v>21</v>
      </c>
      <c r="B119" s="18" t="str">
        <f>Source!F53</f>
        <v>3.4-21-2</v>
      </c>
      <c r="C119" s="18" t="s">
        <v>58</v>
      </c>
      <c r="D119" s="19" t="str">
        <f>Source!H53</f>
        <v>1  ШТ.</v>
      </c>
      <c r="E119" s="10">
        <f>Source!I53</f>
        <v>1</v>
      </c>
      <c r="F119" s="21"/>
      <c r="G119" s="20"/>
      <c r="H119" s="10"/>
      <c r="I119" s="22"/>
      <c r="J119" s="10"/>
      <c r="K119" s="22"/>
      <c r="Q119">
        <f>ROUND((Source!DN53/100)*ROUND((ROUND((Source!AF53*Source!AV53*Source!I53),2)),2), 2)</f>
        <v>11.82</v>
      </c>
      <c r="R119">
        <f>Source!X53</f>
        <v>202.23</v>
      </c>
      <c r="S119">
        <f>ROUND((Source!DO53/100)*ROUND((ROUND((Source!AF53*Source!AV53*Source!I53),2)),2), 2)</f>
        <v>12.53</v>
      </c>
      <c r="T119">
        <f>Source!Y53</f>
        <v>127.46</v>
      </c>
      <c r="U119">
        <f>ROUND((175/100)*ROUND((ROUND((Source!AE53*Source!AV53*Source!I53),2)),2), 2)</f>
        <v>107.42</v>
      </c>
      <c r="V119">
        <f>ROUND((157/100)*ROUND(ROUND((ROUND((Source!AE53*Source!AV53*Source!I53),2)*Source!BS53),2), 2), 2)</f>
        <v>2065.13</v>
      </c>
    </row>
    <row r="120" spans="1:27" ht="14.25" x14ac:dyDescent="0.2">
      <c r="A120" s="17"/>
      <c r="B120" s="18"/>
      <c r="C120" s="18" t="s">
        <v>293</v>
      </c>
      <c r="D120" s="19"/>
      <c r="E120" s="10"/>
      <c r="F120" s="21">
        <f>Source!AO53</f>
        <v>7.57</v>
      </c>
      <c r="G120" s="20" t="str">
        <f>Source!DG53</f>
        <v/>
      </c>
      <c r="H120" s="10">
        <f>Source!AV53</f>
        <v>1.0469999999999999</v>
      </c>
      <c r="I120" s="22">
        <f>ROUND((ROUND((Source!AF53*Source!AV53*Source!I53),2)),2)</f>
        <v>7.93</v>
      </c>
      <c r="J120" s="10">
        <f>IF(Source!BA53&lt;&gt; 0, Source!BA53, 1)</f>
        <v>21.43</v>
      </c>
      <c r="K120" s="22">
        <f>Source!S53</f>
        <v>169.94</v>
      </c>
      <c r="W120">
        <f>I120</f>
        <v>7.93</v>
      </c>
    </row>
    <row r="121" spans="1:27" ht="14.25" x14ac:dyDescent="0.2">
      <c r="A121" s="17"/>
      <c r="B121" s="18"/>
      <c r="C121" s="18" t="s">
        <v>299</v>
      </c>
      <c r="D121" s="19"/>
      <c r="E121" s="10"/>
      <c r="F121" s="21">
        <f>Source!AM53</f>
        <v>1237.54</v>
      </c>
      <c r="G121" s="20" t="str">
        <f>Source!DE53</f>
        <v/>
      </c>
      <c r="H121" s="10">
        <f>Source!AV53</f>
        <v>1.0469999999999999</v>
      </c>
      <c r="I121" s="22">
        <f>(ROUND((ROUND(((Source!ET53)*Source!AV53*Source!I53),2)),2)+ROUND((ROUND(((Source!AE53-(Source!EU53))*Source!AV53*Source!I53),2)),2))</f>
        <v>1295.7</v>
      </c>
      <c r="J121" s="10">
        <f>IF(Source!BB53&lt;&gt; 0, Source!BB53, 1)</f>
        <v>6.11</v>
      </c>
      <c r="K121" s="22">
        <f>Source!Q53</f>
        <v>7916.73</v>
      </c>
    </row>
    <row r="122" spans="1:27" ht="14.25" x14ac:dyDescent="0.2">
      <c r="A122" s="17"/>
      <c r="B122" s="18"/>
      <c r="C122" s="18" t="s">
        <v>300</v>
      </c>
      <c r="D122" s="19"/>
      <c r="E122" s="10"/>
      <c r="F122" s="21">
        <f>Source!AN53</f>
        <v>58.62</v>
      </c>
      <c r="G122" s="20" t="str">
        <f>Source!DF53</f>
        <v/>
      </c>
      <c r="H122" s="10">
        <f>Source!AV53</f>
        <v>1.0469999999999999</v>
      </c>
      <c r="I122" s="26">
        <f>ROUND((ROUND((Source!AE53*Source!AV53*Source!I53),2)),2)</f>
        <v>61.38</v>
      </c>
      <c r="J122" s="10">
        <f>IF(Source!BS53&lt;&gt; 0, Source!BS53, 1)</f>
        <v>21.43</v>
      </c>
      <c r="K122" s="26">
        <f>Source!R53</f>
        <v>1315.37</v>
      </c>
      <c r="W122">
        <f>I122</f>
        <v>61.38</v>
      </c>
    </row>
    <row r="123" spans="1:27" ht="14.25" x14ac:dyDescent="0.2">
      <c r="A123" s="17"/>
      <c r="B123" s="18"/>
      <c r="C123" s="18" t="s">
        <v>294</v>
      </c>
      <c r="D123" s="19" t="s">
        <v>295</v>
      </c>
      <c r="E123" s="10">
        <f>Source!DN53</f>
        <v>149</v>
      </c>
      <c r="F123" s="21"/>
      <c r="G123" s="20"/>
      <c r="H123" s="10"/>
      <c r="I123" s="22">
        <f>SUM(Q119:Q122)</f>
        <v>11.82</v>
      </c>
      <c r="J123" s="10">
        <f>Source!BZ53</f>
        <v>119</v>
      </c>
      <c r="K123" s="22">
        <f>SUM(R119:R122)</f>
        <v>202.23</v>
      </c>
    </row>
    <row r="124" spans="1:27" ht="14.25" x14ac:dyDescent="0.2">
      <c r="A124" s="17"/>
      <c r="B124" s="18"/>
      <c r="C124" s="18" t="s">
        <v>296</v>
      </c>
      <c r="D124" s="19" t="s">
        <v>295</v>
      </c>
      <c r="E124" s="10">
        <f>Source!DO53</f>
        <v>158</v>
      </c>
      <c r="F124" s="21"/>
      <c r="G124" s="20"/>
      <c r="H124" s="10"/>
      <c r="I124" s="22">
        <f>SUM(S119:S123)</f>
        <v>12.53</v>
      </c>
      <c r="J124" s="10">
        <f>Source!CA53</f>
        <v>75</v>
      </c>
      <c r="K124" s="22">
        <f>SUM(T119:T123)</f>
        <v>127.46</v>
      </c>
    </row>
    <row r="125" spans="1:27" ht="14.25" x14ac:dyDescent="0.2">
      <c r="A125" s="17"/>
      <c r="B125" s="18"/>
      <c r="C125" s="18" t="s">
        <v>301</v>
      </c>
      <c r="D125" s="19" t="s">
        <v>295</v>
      </c>
      <c r="E125" s="10">
        <f>175</f>
        <v>175</v>
      </c>
      <c r="F125" s="21"/>
      <c r="G125" s="20"/>
      <c r="H125" s="10"/>
      <c r="I125" s="22">
        <f>SUM(U119:U124)</f>
        <v>107.42</v>
      </c>
      <c r="J125" s="10">
        <f>157</f>
        <v>157</v>
      </c>
      <c r="K125" s="22">
        <f>SUM(V119:V124)</f>
        <v>2065.13</v>
      </c>
    </row>
    <row r="126" spans="1:27" ht="14.25" x14ac:dyDescent="0.2">
      <c r="A126" s="17"/>
      <c r="B126" s="18"/>
      <c r="C126" s="18" t="s">
        <v>297</v>
      </c>
      <c r="D126" s="19" t="s">
        <v>298</v>
      </c>
      <c r="E126" s="10">
        <f>Source!AQ53</f>
        <v>0.6</v>
      </c>
      <c r="F126" s="21"/>
      <c r="G126" s="20" t="str">
        <f>Source!DI53</f>
        <v/>
      </c>
      <c r="H126" s="10">
        <f>Source!AV53</f>
        <v>1.0469999999999999</v>
      </c>
      <c r="I126" s="22">
        <f>Source!U53</f>
        <v>0.62819999999999998</v>
      </c>
      <c r="J126" s="10"/>
      <c r="K126" s="22"/>
    </row>
    <row r="127" spans="1:27" ht="15" x14ac:dyDescent="0.25">
      <c r="A127" s="24"/>
      <c r="B127" s="24"/>
      <c r="C127" s="24"/>
      <c r="D127" s="24"/>
      <c r="E127" s="24"/>
      <c r="F127" s="24"/>
      <c r="G127" s="24"/>
      <c r="H127" s="41">
        <f>I120+I121+I123+I124+I125</f>
        <v>1435.4</v>
      </c>
      <c r="I127" s="41"/>
      <c r="J127" s="41">
        <f>K120+K121+K123+K124+K125</f>
        <v>10481.489999999998</v>
      </c>
      <c r="K127" s="41"/>
      <c r="O127" s="23">
        <f>I120+I121+I123+I124+I125</f>
        <v>1435.4</v>
      </c>
      <c r="P127" s="23">
        <f>K120+K121+K123+K124+K125</f>
        <v>10481.489999999998</v>
      </c>
      <c r="X127">
        <f>IF(Source!BI53&lt;=1,I120+I121+I123+I124+I125-0, 0)</f>
        <v>1435.4</v>
      </c>
      <c r="Y127">
        <f>IF(Source!BI53=2,I120+I121+I123+I124+I125-0, 0)</f>
        <v>0</v>
      </c>
      <c r="Z127">
        <f>IF(Source!BI53=3,I120+I121+I123+I124+I125-0, 0)</f>
        <v>0</v>
      </c>
      <c r="AA127">
        <f>IF(Source!BI53=4,I120+I121+I123+I124+I125,0)</f>
        <v>0</v>
      </c>
    </row>
    <row r="128" spans="1:27" ht="114" x14ac:dyDescent="0.2">
      <c r="A128" s="17" t="str">
        <f>Source!E54</f>
        <v>22</v>
      </c>
      <c r="B128" s="18" t="str">
        <f>Source!F54</f>
        <v>3.4-23-4</v>
      </c>
      <c r="C128" s="18" t="s">
        <v>65</v>
      </c>
      <c r="D128" s="19" t="str">
        <f>Source!H54</f>
        <v>1 М</v>
      </c>
      <c r="E128" s="10">
        <f>Source!I54</f>
        <v>136</v>
      </c>
      <c r="F128" s="21"/>
      <c r="G128" s="20"/>
      <c r="H128" s="10"/>
      <c r="I128" s="22"/>
      <c r="J128" s="10"/>
      <c r="K128" s="22"/>
      <c r="Q128">
        <f>ROUND((Source!DN54/100)*ROUND((ROUND((Source!AF54*Source!AV54*Source!I54),2)),2), 2)</f>
        <v>6485.85</v>
      </c>
      <c r="R128">
        <f>Source!X54</f>
        <v>111006.87</v>
      </c>
      <c r="S128">
        <f>ROUND((Source!DO54/100)*ROUND((ROUND((Source!AF54*Source!AV54*Source!I54),2)),2), 2)</f>
        <v>6877.61</v>
      </c>
      <c r="T128">
        <f>Source!Y54</f>
        <v>69962.31</v>
      </c>
      <c r="U128">
        <f>ROUND((175/100)*ROUND((ROUND((Source!AE54*Source!AV54*Source!I54),2)),2), 2)</f>
        <v>27721.94</v>
      </c>
      <c r="V128">
        <f>ROUND((157/100)*ROUND(ROUND((ROUND((Source!AE54*Source!AV54*Source!I54),2)*Source!BS54),2), 2), 2)</f>
        <v>532975.73</v>
      </c>
    </row>
    <row r="129" spans="1:27" ht="14.25" x14ac:dyDescent="0.2">
      <c r="A129" s="17"/>
      <c r="B129" s="18"/>
      <c r="C129" s="18" t="s">
        <v>293</v>
      </c>
      <c r="D129" s="19"/>
      <c r="E129" s="10"/>
      <c r="F129" s="21">
        <f>Source!AO54</f>
        <v>30.57</v>
      </c>
      <c r="G129" s="20" t="str">
        <f>Source!DG54</f>
        <v/>
      </c>
      <c r="H129" s="10">
        <f>Source!AV54</f>
        <v>1.0469999999999999</v>
      </c>
      <c r="I129" s="22">
        <f>ROUND((ROUND((Source!AF54*Source!AV54*Source!I54),2)),2)</f>
        <v>4352.92</v>
      </c>
      <c r="J129" s="10">
        <f>IF(Source!BA54&lt;&gt; 0, Source!BA54, 1)</f>
        <v>21.43</v>
      </c>
      <c r="K129" s="22">
        <f>Source!S54</f>
        <v>93283.08</v>
      </c>
      <c r="W129">
        <f>I129</f>
        <v>4352.92</v>
      </c>
    </row>
    <row r="130" spans="1:27" ht="14.25" x14ac:dyDescent="0.2">
      <c r="A130" s="17"/>
      <c r="B130" s="18"/>
      <c r="C130" s="18" t="s">
        <v>299</v>
      </c>
      <c r="D130" s="19"/>
      <c r="E130" s="10"/>
      <c r="F130" s="21">
        <f>Source!AM54</f>
        <v>2005.14</v>
      </c>
      <c r="G130" s="20" t="str">
        <f>Source!DE54</f>
        <v/>
      </c>
      <c r="H130" s="10">
        <f>Source!AV54</f>
        <v>1.0469999999999999</v>
      </c>
      <c r="I130" s="22">
        <f>(ROUND((ROUND(((Source!ET54)*Source!AV54*Source!I54),2)),2)+ROUND((ROUND(((Source!AE54-(Source!EU54))*Source!AV54*Source!I54),2)),2))</f>
        <v>285515.89</v>
      </c>
      <c r="J130" s="10">
        <f>IF(Source!BB54&lt;&gt; 0, Source!BB54, 1)</f>
        <v>6.26</v>
      </c>
      <c r="K130" s="22">
        <f>Source!Q54</f>
        <v>1787329.47</v>
      </c>
    </row>
    <row r="131" spans="1:27" ht="14.25" x14ac:dyDescent="0.2">
      <c r="A131" s="17"/>
      <c r="B131" s="18"/>
      <c r="C131" s="18" t="s">
        <v>300</v>
      </c>
      <c r="D131" s="19"/>
      <c r="E131" s="10"/>
      <c r="F131" s="21">
        <f>Source!AN54</f>
        <v>111.25</v>
      </c>
      <c r="G131" s="20" t="str">
        <f>Source!DF54</f>
        <v/>
      </c>
      <c r="H131" s="10">
        <f>Source!AV54</f>
        <v>1.0469999999999999</v>
      </c>
      <c r="I131" s="26">
        <f>ROUND((ROUND((Source!AE54*Source!AV54*Source!I54),2)),2)</f>
        <v>15841.11</v>
      </c>
      <c r="J131" s="10">
        <f>IF(Source!BS54&lt;&gt; 0, Source!BS54, 1)</f>
        <v>21.43</v>
      </c>
      <c r="K131" s="26">
        <f>Source!R54</f>
        <v>339474.99</v>
      </c>
      <c r="W131">
        <f>I131</f>
        <v>15841.11</v>
      </c>
    </row>
    <row r="132" spans="1:27" ht="14.25" x14ac:dyDescent="0.2">
      <c r="A132" s="17"/>
      <c r="B132" s="18"/>
      <c r="C132" s="18" t="s">
        <v>302</v>
      </c>
      <c r="D132" s="19"/>
      <c r="E132" s="10"/>
      <c r="F132" s="21">
        <f>Source!AL54</f>
        <v>35.92</v>
      </c>
      <c r="G132" s="20" t="str">
        <f>Source!DD54</f>
        <v/>
      </c>
      <c r="H132" s="10">
        <f>Source!AW54</f>
        <v>1.079</v>
      </c>
      <c r="I132" s="22">
        <f>ROUND((ROUND((Source!AC54*Source!AW54*Source!I54),2)),2)</f>
        <v>5271.04</v>
      </c>
      <c r="J132" s="10">
        <f>IF(Source!BC54&lt;&gt; 0, Source!BC54, 1)</f>
        <v>4.18</v>
      </c>
      <c r="K132" s="22">
        <f>Source!P54</f>
        <v>22032.95</v>
      </c>
    </row>
    <row r="133" spans="1:27" ht="99.75" x14ac:dyDescent="0.2">
      <c r="A133" s="17" t="str">
        <f>Source!E55</f>
        <v>22,1</v>
      </c>
      <c r="B133" s="18" t="str">
        <f>Source!F55</f>
        <v>1.1-1-1835</v>
      </c>
      <c r="C133" s="18" t="s">
        <v>72</v>
      </c>
      <c r="D133" s="19" t="str">
        <f>Source!H55</f>
        <v>кг</v>
      </c>
      <c r="E133" s="10">
        <f>Source!I55</f>
        <v>24371.200000000001</v>
      </c>
      <c r="F133" s="21">
        <f>Source!AK55</f>
        <v>11.3</v>
      </c>
      <c r="G133" s="27" t="s">
        <v>6</v>
      </c>
      <c r="H133" s="10">
        <f>Source!AW55</f>
        <v>1.079</v>
      </c>
      <c r="I133" s="22">
        <f>ROUND((ROUND((Source!AC55*Source!AW55*Source!I55),2)),2)+(ROUND((ROUND(((Source!ET55)*Source!AV55*Source!I55),2)),2)+ROUND((ROUND(((Source!AE55-(Source!EU55))*Source!AV55*Source!I55),2)),2))+ROUND((ROUND((Source!AF55*Source!AV55*Source!I55),2)),2)</f>
        <v>297150.73</v>
      </c>
      <c r="J133" s="10">
        <f>IF(Source!BC55&lt;&gt; 0, Source!BC55, 1)</f>
        <v>4.0199999999999996</v>
      </c>
      <c r="K133" s="22">
        <f>Source!O55</f>
        <v>1194545.93</v>
      </c>
      <c r="Q133">
        <f>ROUND((Source!DN55/100)*ROUND((ROUND((Source!AF55*Source!AV55*Source!I55),2)),2), 2)</f>
        <v>0</v>
      </c>
      <c r="R133">
        <f>Source!X55</f>
        <v>0</v>
      </c>
      <c r="S133">
        <f>ROUND((Source!DO55/100)*ROUND((ROUND((Source!AF55*Source!AV55*Source!I55),2)),2), 2)</f>
        <v>0</v>
      </c>
      <c r="T133">
        <f>Source!Y55</f>
        <v>0</v>
      </c>
      <c r="U133">
        <f>ROUND((175/100)*ROUND((ROUND((Source!AE55*Source!AV55*Source!I55),2)),2), 2)</f>
        <v>0</v>
      </c>
      <c r="V133">
        <f>ROUND((157/100)*ROUND(ROUND((ROUND((Source!AE55*Source!AV55*Source!I55),2)*Source!BS55),2), 2), 2)</f>
        <v>0</v>
      </c>
      <c r="X133">
        <f>IF(Source!BI55&lt;=1,I133, 0)</f>
        <v>297150.73</v>
      </c>
      <c r="Y133">
        <f>IF(Source!BI55=2,I133, 0)</f>
        <v>0</v>
      </c>
      <c r="Z133">
        <f>IF(Source!BI55=3,I133, 0)</f>
        <v>0</v>
      </c>
      <c r="AA133">
        <f>IF(Source!BI55=4,I133, 0)</f>
        <v>0</v>
      </c>
    </row>
    <row r="134" spans="1:27" ht="85.5" x14ac:dyDescent="0.2">
      <c r="A134" s="17" t="str">
        <f>Source!E56</f>
        <v>22,2</v>
      </c>
      <c r="B134" s="18" t="str">
        <f>Source!F56</f>
        <v>1.12-5-708</v>
      </c>
      <c r="C134" s="18" t="s">
        <v>77</v>
      </c>
      <c r="D134" s="19" t="str">
        <f>Source!H56</f>
        <v>м</v>
      </c>
      <c r="E134" s="10">
        <f>Source!I56</f>
        <v>414</v>
      </c>
      <c r="F134" s="21">
        <f>Source!AK56</f>
        <v>707.02</v>
      </c>
      <c r="G134" s="27" t="s">
        <v>6</v>
      </c>
      <c r="H134" s="10">
        <f>Source!AW56</f>
        <v>1.079</v>
      </c>
      <c r="I134" s="22">
        <f>ROUND((ROUND((Source!AC56*Source!AW56*Source!I56),2)),2)+(ROUND((ROUND(((Source!ET56)*Source!AV56*Source!I56),2)),2)+ROUND((ROUND(((Source!AE56-(Source!EU56))*Source!AV56*Source!I56),2)),2))+ROUND((ROUND((Source!AF56*Source!AV56*Source!I56),2)),2)</f>
        <v>315830.08</v>
      </c>
      <c r="J134" s="10">
        <f>IF(Source!BC56&lt;&gt; 0, Source!BC56, 1)</f>
        <v>2.98</v>
      </c>
      <c r="K134" s="22">
        <f>Source!O56</f>
        <v>941173.64</v>
      </c>
      <c r="Q134">
        <f>ROUND((Source!DN56/100)*ROUND((ROUND((Source!AF56*Source!AV56*Source!I56),2)),2), 2)</f>
        <v>0</v>
      </c>
      <c r="R134">
        <f>Source!X56</f>
        <v>0</v>
      </c>
      <c r="S134">
        <f>ROUND((Source!DO56/100)*ROUND((ROUND((Source!AF56*Source!AV56*Source!I56),2)),2), 2)</f>
        <v>0</v>
      </c>
      <c r="T134">
        <f>Source!Y56</f>
        <v>0</v>
      </c>
      <c r="U134">
        <f>ROUND((175/100)*ROUND((ROUND((Source!AE56*Source!AV56*Source!I56),2)),2), 2)</f>
        <v>0</v>
      </c>
      <c r="V134">
        <f>ROUND((157/100)*ROUND(ROUND((ROUND((Source!AE56*Source!AV56*Source!I56),2)*Source!BS56),2), 2), 2)</f>
        <v>0</v>
      </c>
      <c r="X134">
        <f>IF(Source!BI56&lt;=1,I134, 0)</f>
        <v>315830.08</v>
      </c>
      <c r="Y134">
        <f>IF(Source!BI56=2,I134, 0)</f>
        <v>0</v>
      </c>
      <c r="Z134">
        <f>IF(Source!BI56=3,I134, 0)</f>
        <v>0</v>
      </c>
      <c r="AA134">
        <f>IF(Source!BI56=4,I134, 0)</f>
        <v>0</v>
      </c>
    </row>
    <row r="135" spans="1:27" ht="42.75" x14ac:dyDescent="0.2">
      <c r="A135" s="17" t="str">
        <f>Source!E57</f>
        <v>22,3</v>
      </c>
      <c r="B135" s="18" t="str">
        <f>Source!F57</f>
        <v>1.1-1-3290</v>
      </c>
      <c r="C135" s="18" t="s">
        <v>82</v>
      </c>
      <c r="D135" s="19" t="str">
        <f>Source!H57</f>
        <v>л</v>
      </c>
      <c r="E135" s="10">
        <f>Source!I57</f>
        <v>1335.1936000000001</v>
      </c>
      <c r="F135" s="21">
        <f>Source!AK57</f>
        <v>95.37</v>
      </c>
      <c r="G135" s="27" t="s">
        <v>6</v>
      </c>
      <c r="H135" s="10">
        <f>Source!AW57</f>
        <v>1.079</v>
      </c>
      <c r="I135" s="22">
        <f>ROUND((ROUND((Source!AC57*Source!AW57*Source!I57),2)),2)+(ROUND((ROUND(((Source!ET57)*Source!AV57*Source!I57),2)),2)+ROUND((ROUND(((Source!AE57-(Source!EU57))*Source!AV57*Source!I57),2)),2))+ROUND((ROUND((Source!AF57*Source!AV57*Source!I57),2)),2)</f>
        <v>137397.07</v>
      </c>
      <c r="J135" s="10">
        <f>IF(Source!BC57&lt;&gt; 0, Source!BC57, 1)</f>
        <v>4.6900000000000004</v>
      </c>
      <c r="K135" s="22">
        <f>Source!O57</f>
        <v>644392.26</v>
      </c>
      <c r="Q135">
        <f>ROUND((Source!DN57/100)*ROUND((ROUND((Source!AF57*Source!AV57*Source!I57),2)),2), 2)</f>
        <v>0</v>
      </c>
      <c r="R135">
        <f>Source!X57</f>
        <v>0</v>
      </c>
      <c r="S135">
        <f>ROUND((Source!DO57/100)*ROUND((ROUND((Source!AF57*Source!AV57*Source!I57),2)),2), 2)</f>
        <v>0</v>
      </c>
      <c r="T135">
        <f>Source!Y57</f>
        <v>0</v>
      </c>
      <c r="U135">
        <f>ROUND((175/100)*ROUND((ROUND((Source!AE57*Source!AV57*Source!I57),2)),2), 2)</f>
        <v>0</v>
      </c>
      <c r="V135">
        <f>ROUND((157/100)*ROUND(ROUND((ROUND((Source!AE57*Source!AV57*Source!I57),2)*Source!BS57),2), 2), 2)</f>
        <v>0</v>
      </c>
      <c r="X135">
        <f>IF(Source!BI57&lt;=1,I135, 0)</f>
        <v>137397.07</v>
      </c>
      <c r="Y135">
        <f>IF(Source!BI57=2,I135, 0)</f>
        <v>0</v>
      </c>
      <c r="Z135">
        <f>IF(Source!BI57=3,I135, 0)</f>
        <v>0</v>
      </c>
      <c r="AA135">
        <f>IF(Source!BI57=4,I135, 0)</f>
        <v>0</v>
      </c>
    </row>
    <row r="136" spans="1:27" ht="14.25" x14ac:dyDescent="0.2">
      <c r="A136" s="17"/>
      <c r="B136" s="18"/>
      <c r="C136" s="18" t="s">
        <v>294</v>
      </c>
      <c r="D136" s="19" t="s">
        <v>295</v>
      </c>
      <c r="E136" s="10">
        <f>Source!DN54</f>
        <v>149</v>
      </c>
      <c r="F136" s="21"/>
      <c r="G136" s="20"/>
      <c r="H136" s="10"/>
      <c r="I136" s="22">
        <f>SUM(Q128:Q135)</f>
        <v>6485.85</v>
      </c>
      <c r="J136" s="10">
        <f>Source!BZ54</f>
        <v>119</v>
      </c>
      <c r="K136" s="22">
        <f>SUM(R128:R135)</f>
        <v>111006.87</v>
      </c>
    </row>
    <row r="137" spans="1:27" ht="14.25" x14ac:dyDescent="0.2">
      <c r="A137" s="17"/>
      <c r="B137" s="18"/>
      <c r="C137" s="18" t="s">
        <v>296</v>
      </c>
      <c r="D137" s="19" t="s">
        <v>295</v>
      </c>
      <c r="E137" s="10">
        <f>Source!DO54</f>
        <v>158</v>
      </c>
      <c r="F137" s="21"/>
      <c r="G137" s="20"/>
      <c r="H137" s="10"/>
      <c r="I137" s="22">
        <f>SUM(S128:S136)</f>
        <v>6877.61</v>
      </c>
      <c r="J137" s="10">
        <f>Source!CA54</f>
        <v>75</v>
      </c>
      <c r="K137" s="22">
        <f>SUM(T128:T136)</f>
        <v>69962.31</v>
      </c>
    </row>
    <row r="138" spans="1:27" ht="14.25" x14ac:dyDescent="0.2">
      <c r="A138" s="17"/>
      <c r="B138" s="18"/>
      <c r="C138" s="18" t="s">
        <v>301</v>
      </c>
      <c r="D138" s="19" t="s">
        <v>295</v>
      </c>
      <c r="E138" s="10">
        <f>175</f>
        <v>175</v>
      </c>
      <c r="F138" s="21"/>
      <c r="G138" s="20"/>
      <c r="H138" s="10"/>
      <c r="I138" s="22">
        <f>SUM(U128:U137)</f>
        <v>27721.94</v>
      </c>
      <c r="J138" s="10">
        <f>157</f>
        <v>157</v>
      </c>
      <c r="K138" s="22">
        <f>SUM(V128:V137)</f>
        <v>532975.73</v>
      </c>
    </row>
    <row r="139" spans="1:27" ht="14.25" x14ac:dyDescent="0.2">
      <c r="A139" s="17"/>
      <c r="B139" s="18"/>
      <c r="C139" s="18" t="s">
        <v>297</v>
      </c>
      <c r="D139" s="19" t="s">
        <v>298</v>
      </c>
      <c r="E139" s="10">
        <f>Source!AQ54</f>
        <v>2.2200000000000002</v>
      </c>
      <c r="F139" s="21"/>
      <c r="G139" s="20" t="str">
        <f>Source!DI54</f>
        <v/>
      </c>
      <c r="H139" s="10">
        <f>Source!AV54</f>
        <v>1.0469999999999999</v>
      </c>
      <c r="I139" s="22">
        <f>Source!U54</f>
        <v>316.11023999999998</v>
      </c>
      <c r="J139" s="10"/>
      <c r="K139" s="22"/>
    </row>
    <row r="140" spans="1:27" ht="15" x14ac:dyDescent="0.25">
      <c r="A140" s="24"/>
      <c r="B140" s="24"/>
      <c r="C140" s="24"/>
      <c r="D140" s="24"/>
      <c r="E140" s="24"/>
      <c r="F140" s="24"/>
      <c r="G140" s="24"/>
      <c r="H140" s="41">
        <f>I129+I130+I132+I136+I137+I138+SUM(I133:I135)</f>
        <v>1086603.1300000001</v>
      </c>
      <c r="I140" s="41"/>
      <c r="J140" s="41">
        <f>K129+K130+K132+K136+K137+K138+SUM(K133:K135)</f>
        <v>5396702.2400000002</v>
      </c>
      <c r="K140" s="41"/>
      <c r="O140" s="23">
        <f>I129+I130+I132+I136+I137+I138+SUM(I133:I135)</f>
        <v>1086603.1300000001</v>
      </c>
      <c r="P140" s="23">
        <f>K129+K130+K132+K136+K137+K138+SUM(K133:K135)</f>
        <v>5396702.2400000002</v>
      </c>
      <c r="X140">
        <f>IF(Source!BI54&lt;=1,I129+I130+I132+I136+I137+I138-0, 0)</f>
        <v>336225.24999999994</v>
      </c>
      <c r="Y140">
        <f>IF(Source!BI54=2,I129+I130+I132+I136+I137+I138-0, 0)</f>
        <v>0</v>
      </c>
      <c r="Z140">
        <f>IF(Source!BI54=3,I129+I130+I132+I136+I137+I138-0, 0)</f>
        <v>0</v>
      </c>
      <c r="AA140">
        <f>IF(Source!BI54=4,I129+I130+I132+I136+I137+I138,0)</f>
        <v>0</v>
      </c>
    </row>
    <row r="141" spans="1:27" ht="28.5" x14ac:dyDescent="0.2">
      <c r="A141" s="17" t="str">
        <f>Source!E58</f>
        <v>24</v>
      </c>
      <c r="B141" s="18" t="str">
        <f>Source!F58</f>
        <v>3.22-56-2</v>
      </c>
      <c r="C141" s="18" t="s">
        <v>87</v>
      </c>
      <c r="D141" s="19" t="str">
        <f>Source!H58</f>
        <v>1 стык</v>
      </c>
      <c r="E141" s="10">
        <f>Source!I58</f>
        <v>33</v>
      </c>
      <c r="F141" s="21"/>
      <c r="G141" s="20"/>
      <c r="H141" s="10"/>
      <c r="I141" s="22"/>
      <c r="J141" s="10"/>
      <c r="K141" s="22"/>
      <c r="Q141">
        <f>ROUND((Source!DN58/100)*ROUND((ROUND((Source!AF58*Source!AV58*Source!I58),2)),2), 2)</f>
        <v>0</v>
      </c>
      <c r="R141">
        <f>Source!X58</f>
        <v>0</v>
      </c>
      <c r="S141">
        <f>ROUND((Source!DO58/100)*ROUND((ROUND((Source!AF58*Source!AV58*Source!I58),2)),2), 2)</f>
        <v>0</v>
      </c>
      <c r="T141">
        <f>Source!Y58</f>
        <v>0</v>
      </c>
      <c r="U141">
        <f>ROUND((175/100)*ROUND((ROUND((Source!AE58*Source!AV58*Source!I58),2)),2), 2)</f>
        <v>35.74</v>
      </c>
      <c r="V141">
        <f>ROUND((157/100)*ROUND(ROUND((ROUND((Source!AE58*Source!AV58*Source!I58),2)*Source!BS58),2), 2), 2)</f>
        <v>687.03</v>
      </c>
    </row>
    <row r="142" spans="1:27" ht="14.25" x14ac:dyDescent="0.2">
      <c r="A142" s="17"/>
      <c r="B142" s="18"/>
      <c r="C142" s="18" t="s">
        <v>299</v>
      </c>
      <c r="D142" s="19"/>
      <c r="E142" s="10"/>
      <c r="F142" s="21">
        <f>Source!AM58</f>
        <v>25.7</v>
      </c>
      <c r="G142" s="20" t="str">
        <f>Source!DE58</f>
        <v/>
      </c>
      <c r="H142" s="10">
        <f>Source!AV58</f>
        <v>1.0669999999999999</v>
      </c>
      <c r="I142" s="22">
        <f>(ROUND((ROUND(((Source!ET58)*Source!AV58*Source!I58),2)),2)+ROUND((ROUND(((Source!AE58-(Source!EU58))*Source!AV58*Source!I58),2)),2))</f>
        <v>904.92</v>
      </c>
      <c r="J142" s="10">
        <f>IF(Source!BB58&lt;&gt; 0, Source!BB58, 1)</f>
        <v>2.37</v>
      </c>
      <c r="K142" s="22">
        <f>Source!Q58</f>
        <v>2144.66</v>
      </c>
    </row>
    <row r="143" spans="1:27" ht="14.25" x14ac:dyDescent="0.2">
      <c r="A143" s="17"/>
      <c r="B143" s="18"/>
      <c r="C143" s="18" t="s">
        <v>300</v>
      </c>
      <c r="D143" s="19"/>
      <c r="E143" s="10"/>
      <c r="F143" s="21">
        <f>Source!AN58</f>
        <v>0.57999999999999996</v>
      </c>
      <c r="G143" s="20" t="str">
        <f>Source!DF58</f>
        <v/>
      </c>
      <c r="H143" s="10">
        <f>Source!AV58</f>
        <v>1.0669999999999999</v>
      </c>
      <c r="I143" s="26">
        <f>ROUND((ROUND((Source!AE58*Source!AV58*Source!I58),2)),2)</f>
        <v>20.420000000000002</v>
      </c>
      <c r="J143" s="10">
        <f>IF(Source!BS58&lt;&gt; 0, Source!BS58, 1)</f>
        <v>21.43</v>
      </c>
      <c r="K143" s="26">
        <f>Source!R58</f>
        <v>437.6</v>
      </c>
      <c r="W143">
        <f>I143</f>
        <v>20.420000000000002</v>
      </c>
    </row>
    <row r="144" spans="1:27" ht="14.25" x14ac:dyDescent="0.2">
      <c r="A144" s="17"/>
      <c r="B144" s="18"/>
      <c r="C144" s="18" t="s">
        <v>301</v>
      </c>
      <c r="D144" s="19" t="s">
        <v>295</v>
      </c>
      <c r="E144" s="10">
        <f>175</f>
        <v>175</v>
      </c>
      <c r="F144" s="21"/>
      <c r="G144" s="20"/>
      <c r="H144" s="10"/>
      <c r="I144" s="22">
        <f>SUM(U141:U143)</f>
        <v>35.74</v>
      </c>
      <c r="J144" s="10">
        <f>157</f>
        <v>157</v>
      </c>
      <c r="K144" s="22">
        <f>SUM(V141:V143)</f>
        <v>687.03</v>
      </c>
    </row>
    <row r="145" spans="1:27" ht="15" x14ac:dyDescent="0.25">
      <c r="A145" s="24"/>
      <c r="B145" s="24"/>
      <c r="C145" s="24"/>
      <c r="D145" s="24"/>
      <c r="E145" s="24"/>
      <c r="F145" s="24"/>
      <c r="G145" s="24"/>
      <c r="H145" s="41">
        <f>I142+I144</f>
        <v>940.66</v>
      </c>
      <c r="I145" s="41"/>
      <c r="J145" s="41">
        <f>K142+K144</f>
        <v>2831.6899999999996</v>
      </c>
      <c r="K145" s="41"/>
      <c r="O145" s="23">
        <f>I142+I144</f>
        <v>940.66</v>
      </c>
      <c r="P145" s="23">
        <f>K142+K144</f>
        <v>2831.6899999999996</v>
      </c>
      <c r="X145">
        <f>IF(Source!BI58&lt;=1,I142+I144-0, 0)</f>
        <v>940.66</v>
      </c>
      <c r="Y145">
        <f>IF(Source!BI58=2,I142+I144-0, 0)</f>
        <v>0</v>
      </c>
      <c r="Z145">
        <f>IF(Source!BI58=3,I142+I144-0, 0)</f>
        <v>0</v>
      </c>
      <c r="AA145">
        <f>IF(Source!BI58=4,I142+I144,0)</f>
        <v>0</v>
      </c>
    </row>
    <row r="146" spans="1:27" ht="42.75" x14ac:dyDescent="0.2">
      <c r="A146" s="17" t="str">
        <f>Source!E59</f>
        <v>25</v>
      </c>
      <c r="B146" s="18" t="str">
        <f>Source!F59</f>
        <v>3.4-21-4</v>
      </c>
      <c r="C146" s="18" t="s">
        <v>94</v>
      </c>
      <c r="D146" s="19" t="str">
        <f>Source!H59</f>
        <v>1  ШТ.</v>
      </c>
      <c r="E146" s="10">
        <f>Source!I59</f>
        <v>1</v>
      </c>
      <c r="F146" s="21"/>
      <c r="G146" s="20"/>
      <c r="H146" s="10"/>
      <c r="I146" s="22"/>
      <c r="J146" s="10"/>
      <c r="K146" s="22"/>
      <c r="Q146">
        <f>ROUND((Source!DN59/100)*ROUND((ROUND((Source!AF59*Source!AV59*Source!I59),2)),2), 2)</f>
        <v>5.1100000000000003</v>
      </c>
      <c r="R146">
        <f>Source!X59</f>
        <v>87.47</v>
      </c>
      <c r="S146">
        <f>ROUND((Source!DO59/100)*ROUND((ROUND((Source!AF59*Source!AV59*Source!I59),2)),2), 2)</f>
        <v>5.42</v>
      </c>
      <c r="T146">
        <f>Source!Y59</f>
        <v>55.13</v>
      </c>
      <c r="U146">
        <f>ROUND((175/100)*ROUND((ROUND((Source!AE59*Source!AV59*Source!I59),2)),2), 2)</f>
        <v>35.46</v>
      </c>
      <c r="V146">
        <f>ROUND((157/100)*ROUND(ROUND((ROUND((Source!AE59*Source!AV59*Source!I59),2)*Source!BS59),2), 2), 2)</f>
        <v>681.65</v>
      </c>
    </row>
    <row r="147" spans="1:27" ht="14.25" x14ac:dyDescent="0.2">
      <c r="A147" s="17"/>
      <c r="B147" s="18"/>
      <c r="C147" s="18" t="s">
        <v>293</v>
      </c>
      <c r="D147" s="19"/>
      <c r="E147" s="10"/>
      <c r="F147" s="21">
        <f>Source!AO59</f>
        <v>3.28</v>
      </c>
      <c r="G147" s="20" t="str">
        <f>Source!DG59</f>
        <v/>
      </c>
      <c r="H147" s="10">
        <f>Source!AV59</f>
        <v>1.0469999999999999</v>
      </c>
      <c r="I147" s="22">
        <f>ROUND((ROUND((Source!AF59*Source!AV59*Source!I59),2)),2)</f>
        <v>3.43</v>
      </c>
      <c r="J147" s="10">
        <f>IF(Source!BA59&lt;&gt; 0, Source!BA59, 1)</f>
        <v>21.43</v>
      </c>
      <c r="K147" s="22">
        <f>Source!S59</f>
        <v>73.5</v>
      </c>
      <c r="W147">
        <f>I147</f>
        <v>3.43</v>
      </c>
    </row>
    <row r="148" spans="1:27" ht="14.25" x14ac:dyDescent="0.2">
      <c r="A148" s="17"/>
      <c r="B148" s="18"/>
      <c r="C148" s="18" t="s">
        <v>299</v>
      </c>
      <c r="D148" s="19"/>
      <c r="E148" s="10"/>
      <c r="F148" s="21">
        <f>Source!AM59</f>
        <v>506.68</v>
      </c>
      <c r="G148" s="20" t="str">
        <f>Source!DE59</f>
        <v/>
      </c>
      <c r="H148" s="10">
        <f>Source!AV59</f>
        <v>1.0469999999999999</v>
      </c>
      <c r="I148" s="22">
        <f>(ROUND((ROUND(((Source!ET59)*Source!AV59*Source!I59),2)),2)+ROUND((ROUND(((Source!AE59-(Source!EU59))*Source!AV59*Source!I59),2)),2))</f>
        <v>530.49</v>
      </c>
      <c r="J148" s="10">
        <f>IF(Source!BB59&lt;&gt; 0, Source!BB59, 1)</f>
        <v>5.9</v>
      </c>
      <c r="K148" s="22">
        <f>Source!Q59</f>
        <v>3129.89</v>
      </c>
    </row>
    <row r="149" spans="1:27" ht="14.25" x14ac:dyDescent="0.2">
      <c r="A149" s="17"/>
      <c r="B149" s="18"/>
      <c r="C149" s="18" t="s">
        <v>300</v>
      </c>
      <c r="D149" s="19"/>
      <c r="E149" s="10"/>
      <c r="F149" s="21">
        <f>Source!AN59</f>
        <v>19.350000000000001</v>
      </c>
      <c r="G149" s="20" t="str">
        <f>Source!DF59</f>
        <v/>
      </c>
      <c r="H149" s="10">
        <f>Source!AV59</f>
        <v>1.0469999999999999</v>
      </c>
      <c r="I149" s="26">
        <f>ROUND((ROUND((Source!AE59*Source!AV59*Source!I59),2)),2)</f>
        <v>20.260000000000002</v>
      </c>
      <c r="J149" s="10">
        <f>IF(Source!BS59&lt;&gt; 0, Source!BS59, 1)</f>
        <v>21.43</v>
      </c>
      <c r="K149" s="26">
        <f>Source!R59</f>
        <v>434.17</v>
      </c>
      <c r="W149">
        <f>I149</f>
        <v>20.260000000000002</v>
      </c>
    </row>
    <row r="150" spans="1:27" ht="14.25" x14ac:dyDescent="0.2">
      <c r="A150" s="17"/>
      <c r="B150" s="18"/>
      <c r="C150" s="18" t="s">
        <v>294</v>
      </c>
      <c r="D150" s="19" t="s">
        <v>295</v>
      </c>
      <c r="E150" s="10">
        <f>Source!DN59</f>
        <v>149</v>
      </c>
      <c r="F150" s="21"/>
      <c r="G150" s="20"/>
      <c r="H150" s="10"/>
      <c r="I150" s="22">
        <f>SUM(Q146:Q149)</f>
        <v>5.1100000000000003</v>
      </c>
      <c r="J150" s="10">
        <f>Source!BZ59</f>
        <v>119</v>
      </c>
      <c r="K150" s="22">
        <f>SUM(R146:R149)</f>
        <v>87.47</v>
      </c>
    </row>
    <row r="151" spans="1:27" ht="14.25" x14ac:dyDescent="0.2">
      <c r="A151" s="17"/>
      <c r="B151" s="18"/>
      <c r="C151" s="18" t="s">
        <v>296</v>
      </c>
      <c r="D151" s="19" t="s">
        <v>295</v>
      </c>
      <c r="E151" s="10">
        <f>Source!DO59</f>
        <v>158</v>
      </c>
      <c r="F151" s="21"/>
      <c r="G151" s="20"/>
      <c r="H151" s="10"/>
      <c r="I151" s="22">
        <f>SUM(S146:S150)</f>
        <v>5.42</v>
      </c>
      <c r="J151" s="10">
        <f>Source!CA59</f>
        <v>75</v>
      </c>
      <c r="K151" s="22">
        <f>SUM(T146:T150)</f>
        <v>55.13</v>
      </c>
    </row>
    <row r="152" spans="1:27" ht="14.25" x14ac:dyDescent="0.2">
      <c r="A152" s="17"/>
      <c r="B152" s="18"/>
      <c r="C152" s="18" t="s">
        <v>301</v>
      </c>
      <c r="D152" s="19" t="s">
        <v>295</v>
      </c>
      <c r="E152" s="10">
        <f>175</f>
        <v>175</v>
      </c>
      <c r="F152" s="21"/>
      <c r="G152" s="20"/>
      <c r="H152" s="10"/>
      <c r="I152" s="22">
        <f>SUM(U146:U151)</f>
        <v>35.46</v>
      </c>
      <c r="J152" s="10">
        <f>157</f>
        <v>157</v>
      </c>
      <c r="K152" s="22">
        <f>SUM(V146:V151)</f>
        <v>681.65</v>
      </c>
    </row>
    <row r="153" spans="1:27" ht="14.25" x14ac:dyDescent="0.2">
      <c r="A153" s="17"/>
      <c r="B153" s="18"/>
      <c r="C153" s="18" t="s">
        <v>297</v>
      </c>
      <c r="D153" s="19" t="s">
        <v>298</v>
      </c>
      <c r="E153" s="10">
        <f>Source!AQ59</f>
        <v>0.26</v>
      </c>
      <c r="F153" s="21"/>
      <c r="G153" s="20" t="str">
        <f>Source!DI59</f>
        <v/>
      </c>
      <c r="H153" s="10">
        <f>Source!AV59</f>
        <v>1.0469999999999999</v>
      </c>
      <c r="I153" s="22">
        <f>Source!U59</f>
        <v>0.27222000000000002</v>
      </c>
      <c r="J153" s="10"/>
      <c r="K153" s="22"/>
    </row>
    <row r="154" spans="1:27" ht="15" x14ac:dyDescent="0.25">
      <c r="A154" s="24"/>
      <c r="B154" s="24"/>
      <c r="C154" s="24"/>
      <c r="D154" s="24"/>
      <c r="E154" s="24"/>
      <c r="F154" s="24"/>
      <c r="G154" s="24"/>
      <c r="H154" s="41">
        <f>I147+I148+I150+I151+I152</f>
        <v>579.91</v>
      </c>
      <c r="I154" s="41"/>
      <c r="J154" s="41">
        <f>K147+K148+K150+K151+K152</f>
        <v>4027.64</v>
      </c>
      <c r="K154" s="41"/>
      <c r="O154" s="23">
        <f>I147+I148+I150+I151+I152</f>
        <v>579.91</v>
      </c>
      <c r="P154" s="23">
        <f>K147+K148+K150+K151+K152</f>
        <v>4027.64</v>
      </c>
      <c r="X154">
        <f>IF(Source!BI59&lt;=1,I147+I148+I150+I151+I152-0, 0)</f>
        <v>579.91</v>
      </c>
      <c r="Y154">
        <f>IF(Source!BI59=2,I147+I148+I150+I151+I152-0, 0)</f>
        <v>0</v>
      </c>
      <c r="Z154">
        <f>IF(Source!BI59=3,I147+I148+I150+I151+I152-0, 0)</f>
        <v>0</v>
      </c>
      <c r="AA154">
        <f>IF(Source!BI59=4,I147+I148+I150+I151+I152,0)</f>
        <v>0</v>
      </c>
    </row>
    <row r="155" spans="1:27" ht="14.25" x14ac:dyDescent="0.2">
      <c r="C155" s="25" t="str">
        <f>Source!G60</f>
        <v>ЗП№7 70мх1скв.х3тр.</v>
      </c>
    </row>
    <row r="156" spans="1:27" ht="42.75" x14ac:dyDescent="0.2">
      <c r="A156" s="17" t="str">
        <f>Source!E61</f>
        <v>26</v>
      </c>
      <c r="B156" s="18" t="str">
        <f>Source!F61</f>
        <v>3.4-21-2</v>
      </c>
      <c r="C156" s="18" t="s">
        <v>58</v>
      </c>
      <c r="D156" s="19" t="str">
        <f>Source!H61</f>
        <v>1  ШТ.</v>
      </c>
      <c r="E156" s="10">
        <f>Source!I61</f>
        <v>1</v>
      </c>
      <c r="F156" s="21"/>
      <c r="G156" s="20"/>
      <c r="H156" s="10"/>
      <c r="I156" s="22"/>
      <c r="J156" s="10"/>
      <c r="K156" s="22"/>
      <c r="Q156">
        <f>ROUND((Source!DN61/100)*ROUND((ROUND((Source!AF61*Source!AV61*Source!I61),2)),2), 2)</f>
        <v>11.82</v>
      </c>
      <c r="R156">
        <f>Source!X61</f>
        <v>202.23</v>
      </c>
      <c r="S156">
        <f>ROUND((Source!DO61/100)*ROUND((ROUND((Source!AF61*Source!AV61*Source!I61),2)),2), 2)</f>
        <v>12.53</v>
      </c>
      <c r="T156">
        <f>Source!Y61</f>
        <v>127.46</v>
      </c>
      <c r="U156">
        <f>ROUND((175/100)*ROUND((ROUND((Source!AE61*Source!AV61*Source!I61),2)),2), 2)</f>
        <v>107.42</v>
      </c>
      <c r="V156">
        <f>ROUND((157/100)*ROUND(ROUND((ROUND((Source!AE61*Source!AV61*Source!I61),2)*Source!BS61),2), 2), 2)</f>
        <v>2065.13</v>
      </c>
    </row>
    <row r="157" spans="1:27" ht="14.25" x14ac:dyDescent="0.2">
      <c r="A157" s="17"/>
      <c r="B157" s="18"/>
      <c r="C157" s="18" t="s">
        <v>293</v>
      </c>
      <c r="D157" s="19"/>
      <c r="E157" s="10"/>
      <c r="F157" s="21">
        <f>Source!AO61</f>
        <v>7.57</v>
      </c>
      <c r="G157" s="20" t="str">
        <f>Source!DG61</f>
        <v/>
      </c>
      <c r="H157" s="10">
        <f>Source!AV61</f>
        <v>1.0469999999999999</v>
      </c>
      <c r="I157" s="22">
        <f>ROUND((ROUND((Source!AF61*Source!AV61*Source!I61),2)),2)</f>
        <v>7.93</v>
      </c>
      <c r="J157" s="10">
        <f>IF(Source!BA61&lt;&gt; 0, Source!BA61, 1)</f>
        <v>21.43</v>
      </c>
      <c r="K157" s="22">
        <f>Source!S61</f>
        <v>169.94</v>
      </c>
      <c r="W157">
        <f>I157</f>
        <v>7.93</v>
      </c>
    </row>
    <row r="158" spans="1:27" ht="14.25" x14ac:dyDescent="0.2">
      <c r="A158" s="17"/>
      <c r="B158" s="18"/>
      <c r="C158" s="18" t="s">
        <v>299</v>
      </c>
      <c r="D158" s="19"/>
      <c r="E158" s="10"/>
      <c r="F158" s="21">
        <f>Source!AM61</f>
        <v>1237.54</v>
      </c>
      <c r="G158" s="20" t="str">
        <f>Source!DE61</f>
        <v/>
      </c>
      <c r="H158" s="10">
        <f>Source!AV61</f>
        <v>1.0469999999999999</v>
      </c>
      <c r="I158" s="22">
        <f>(ROUND((ROUND(((Source!ET61)*Source!AV61*Source!I61),2)),2)+ROUND((ROUND(((Source!AE61-(Source!EU61))*Source!AV61*Source!I61),2)),2))</f>
        <v>1295.7</v>
      </c>
      <c r="J158" s="10">
        <f>IF(Source!BB61&lt;&gt; 0, Source!BB61, 1)</f>
        <v>6.11</v>
      </c>
      <c r="K158" s="22">
        <f>Source!Q61</f>
        <v>7916.73</v>
      </c>
    </row>
    <row r="159" spans="1:27" ht="14.25" x14ac:dyDescent="0.2">
      <c r="A159" s="17"/>
      <c r="B159" s="18"/>
      <c r="C159" s="18" t="s">
        <v>300</v>
      </c>
      <c r="D159" s="19"/>
      <c r="E159" s="10"/>
      <c r="F159" s="21">
        <f>Source!AN61</f>
        <v>58.62</v>
      </c>
      <c r="G159" s="20" t="str">
        <f>Source!DF61</f>
        <v/>
      </c>
      <c r="H159" s="10">
        <f>Source!AV61</f>
        <v>1.0469999999999999</v>
      </c>
      <c r="I159" s="26">
        <f>ROUND((ROUND((Source!AE61*Source!AV61*Source!I61),2)),2)</f>
        <v>61.38</v>
      </c>
      <c r="J159" s="10">
        <f>IF(Source!BS61&lt;&gt; 0, Source!BS61, 1)</f>
        <v>21.43</v>
      </c>
      <c r="K159" s="26">
        <f>Source!R61</f>
        <v>1315.37</v>
      </c>
      <c r="W159">
        <f>I159</f>
        <v>61.38</v>
      </c>
    </row>
    <row r="160" spans="1:27" ht="14.25" x14ac:dyDescent="0.2">
      <c r="A160" s="17"/>
      <c r="B160" s="18"/>
      <c r="C160" s="18" t="s">
        <v>294</v>
      </c>
      <c r="D160" s="19" t="s">
        <v>295</v>
      </c>
      <c r="E160" s="10">
        <f>Source!DN61</f>
        <v>149</v>
      </c>
      <c r="F160" s="21"/>
      <c r="G160" s="20"/>
      <c r="H160" s="10"/>
      <c r="I160" s="22">
        <f>SUM(Q156:Q159)</f>
        <v>11.82</v>
      </c>
      <c r="J160" s="10">
        <f>Source!BZ61</f>
        <v>119</v>
      </c>
      <c r="K160" s="22">
        <f>SUM(R156:R159)</f>
        <v>202.23</v>
      </c>
    </row>
    <row r="161" spans="1:27" ht="14.25" x14ac:dyDescent="0.2">
      <c r="A161" s="17"/>
      <c r="B161" s="18"/>
      <c r="C161" s="18" t="s">
        <v>296</v>
      </c>
      <c r="D161" s="19" t="s">
        <v>295</v>
      </c>
      <c r="E161" s="10">
        <f>Source!DO61</f>
        <v>158</v>
      </c>
      <c r="F161" s="21"/>
      <c r="G161" s="20"/>
      <c r="H161" s="10"/>
      <c r="I161" s="22">
        <f>SUM(S156:S160)</f>
        <v>12.53</v>
      </c>
      <c r="J161" s="10">
        <f>Source!CA61</f>
        <v>75</v>
      </c>
      <c r="K161" s="22">
        <f>SUM(T156:T160)</f>
        <v>127.46</v>
      </c>
    </row>
    <row r="162" spans="1:27" ht="14.25" x14ac:dyDescent="0.2">
      <c r="A162" s="17"/>
      <c r="B162" s="18"/>
      <c r="C162" s="18" t="s">
        <v>301</v>
      </c>
      <c r="D162" s="19" t="s">
        <v>295</v>
      </c>
      <c r="E162" s="10">
        <f>175</f>
        <v>175</v>
      </c>
      <c r="F162" s="21"/>
      <c r="G162" s="20"/>
      <c r="H162" s="10"/>
      <c r="I162" s="22">
        <f>SUM(U156:U161)</f>
        <v>107.42</v>
      </c>
      <c r="J162" s="10">
        <f>157</f>
        <v>157</v>
      </c>
      <c r="K162" s="22">
        <f>SUM(V156:V161)</f>
        <v>2065.13</v>
      </c>
    </row>
    <row r="163" spans="1:27" ht="14.25" x14ac:dyDescent="0.2">
      <c r="A163" s="17"/>
      <c r="B163" s="18"/>
      <c r="C163" s="18" t="s">
        <v>297</v>
      </c>
      <c r="D163" s="19" t="s">
        <v>298</v>
      </c>
      <c r="E163" s="10">
        <f>Source!AQ61</f>
        <v>0.6</v>
      </c>
      <c r="F163" s="21"/>
      <c r="G163" s="20" t="str">
        <f>Source!DI61</f>
        <v/>
      </c>
      <c r="H163" s="10">
        <f>Source!AV61</f>
        <v>1.0469999999999999</v>
      </c>
      <c r="I163" s="22">
        <f>Source!U61</f>
        <v>0.62819999999999998</v>
      </c>
      <c r="J163" s="10"/>
      <c r="K163" s="22"/>
    </row>
    <row r="164" spans="1:27" ht="15" x14ac:dyDescent="0.25">
      <c r="A164" s="24"/>
      <c r="B164" s="24"/>
      <c r="C164" s="24"/>
      <c r="D164" s="24"/>
      <c r="E164" s="24"/>
      <c r="F164" s="24"/>
      <c r="G164" s="24"/>
      <c r="H164" s="41">
        <f>I157+I158+I160+I161+I162</f>
        <v>1435.4</v>
      </c>
      <c r="I164" s="41"/>
      <c r="J164" s="41">
        <f>K157+K158+K160+K161+K162</f>
        <v>10481.489999999998</v>
      </c>
      <c r="K164" s="41"/>
      <c r="O164" s="23">
        <f>I157+I158+I160+I161+I162</f>
        <v>1435.4</v>
      </c>
      <c r="P164" s="23">
        <f>K157+K158+K160+K161+K162</f>
        <v>10481.489999999998</v>
      </c>
      <c r="X164">
        <f>IF(Source!BI61&lt;=1,I157+I158+I160+I161+I162-0, 0)</f>
        <v>1435.4</v>
      </c>
      <c r="Y164">
        <f>IF(Source!BI61=2,I157+I158+I160+I161+I162-0, 0)</f>
        <v>0</v>
      </c>
      <c r="Z164">
        <f>IF(Source!BI61=3,I157+I158+I160+I161+I162-0, 0)</f>
        <v>0</v>
      </c>
      <c r="AA164">
        <f>IF(Source!BI61=4,I157+I158+I160+I161+I162,0)</f>
        <v>0</v>
      </c>
    </row>
    <row r="165" spans="1:27" ht="114" x14ac:dyDescent="0.2">
      <c r="A165" s="17" t="str">
        <f>Source!E62</f>
        <v>27</v>
      </c>
      <c r="B165" s="18" t="str">
        <f>Source!F62</f>
        <v>3.4-23-4</v>
      </c>
      <c r="C165" s="18" t="s">
        <v>65</v>
      </c>
      <c r="D165" s="19" t="str">
        <f>Source!H62</f>
        <v>1 М</v>
      </c>
      <c r="E165" s="10">
        <f>Source!I62</f>
        <v>70</v>
      </c>
      <c r="F165" s="21"/>
      <c r="G165" s="20"/>
      <c r="H165" s="10"/>
      <c r="I165" s="22"/>
      <c r="J165" s="10"/>
      <c r="K165" s="22"/>
      <c r="Q165">
        <f>ROUND((Source!DN62/100)*ROUND((ROUND((Source!AF62*Source!AV62*Source!I62),2)),2), 2)</f>
        <v>3338.32</v>
      </c>
      <c r="R165">
        <f>Source!X62</f>
        <v>57136.05</v>
      </c>
      <c r="S165">
        <f>ROUND((Source!DO62/100)*ROUND((ROUND((Source!AF62*Source!AV62*Source!I62),2)),2), 2)</f>
        <v>3539.96</v>
      </c>
      <c r="T165">
        <f>Source!Y62</f>
        <v>36010.120000000003</v>
      </c>
      <c r="U165">
        <f>ROUND((175/100)*ROUND((ROUND((Source!AE62*Source!AV62*Source!I62),2)),2), 2)</f>
        <v>14268.64</v>
      </c>
      <c r="V165">
        <f>ROUND((157/100)*ROUND(ROUND((ROUND((Source!AE62*Source!AV62*Source!I62),2)*Source!BS62),2), 2), 2)</f>
        <v>274325.65999999997</v>
      </c>
    </row>
    <row r="166" spans="1:27" ht="14.25" x14ac:dyDescent="0.2">
      <c r="A166" s="17"/>
      <c r="B166" s="18"/>
      <c r="C166" s="18" t="s">
        <v>293</v>
      </c>
      <c r="D166" s="19"/>
      <c r="E166" s="10"/>
      <c r="F166" s="21">
        <f>Source!AO62</f>
        <v>30.57</v>
      </c>
      <c r="G166" s="20" t="str">
        <f>Source!DG62</f>
        <v/>
      </c>
      <c r="H166" s="10">
        <f>Source!AV62</f>
        <v>1.0469999999999999</v>
      </c>
      <c r="I166" s="22">
        <f>ROUND((ROUND((Source!AF62*Source!AV62*Source!I62),2)),2)</f>
        <v>2240.48</v>
      </c>
      <c r="J166" s="10">
        <f>IF(Source!BA62&lt;&gt; 0, Source!BA62, 1)</f>
        <v>21.43</v>
      </c>
      <c r="K166" s="22">
        <f>Source!S62</f>
        <v>48013.49</v>
      </c>
      <c r="W166">
        <f>I166</f>
        <v>2240.48</v>
      </c>
    </row>
    <row r="167" spans="1:27" ht="14.25" x14ac:dyDescent="0.2">
      <c r="A167" s="17"/>
      <c r="B167" s="18"/>
      <c r="C167" s="18" t="s">
        <v>299</v>
      </c>
      <c r="D167" s="19"/>
      <c r="E167" s="10"/>
      <c r="F167" s="21">
        <f>Source!AM62</f>
        <v>2005.14</v>
      </c>
      <c r="G167" s="20" t="str">
        <f>Source!DE62</f>
        <v/>
      </c>
      <c r="H167" s="10">
        <f>Source!AV62</f>
        <v>1.0469999999999999</v>
      </c>
      <c r="I167" s="22">
        <f>(ROUND((ROUND(((Source!ET62)*Source!AV62*Source!I62),2)),2)+ROUND((ROUND(((Source!AE62-(Source!EU62))*Source!AV62*Source!I62),2)),2))</f>
        <v>146956.71</v>
      </c>
      <c r="J167" s="10">
        <f>IF(Source!BB62&lt;&gt; 0, Source!BB62, 1)</f>
        <v>6.26</v>
      </c>
      <c r="K167" s="22">
        <f>Source!Q62</f>
        <v>919949</v>
      </c>
    </row>
    <row r="168" spans="1:27" ht="14.25" x14ac:dyDescent="0.2">
      <c r="A168" s="17"/>
      <c r="B168" s="18"/>
      <c r="C168" s="18" t="s">
        <v>300</v>
      </c>
      <c r="D168" s="19"/>
      <c r="E168" s="10"/>
      <c r="F168" s="21">
        <f>Source!AN62</f>
        <v>111.25</v>
      </c>
      <c r="G168" s="20" t="str">
        <f>Source!DF62</f>
        <v/>
      </c>
      <c r="H168" s="10">
        <f>Source!AV62</f>
        <v>1.0469999999999999</v>
      </c>
      <c r="I168" s="26">
        <f>ROUND((ROUND((Source!AE62*Source!AV62*Source!I62),2)),2)</f>
        <v>8153.51</v>
      </c>
      <c r="J168" s="10">
        <f>IF(Source!BS62&lt;&gt; 0, Source!BS62, 1)</f>
        <v>21.43</v>
      </c>
      <c r="K168" s="26">
        <f>Source!R62</f>
        <v>174729.72</v>
      </c>
      <c r="W168">
        <f>I168</f>
        <v>8153.51</v>
      </c>
    </row>
    <row r="169" spans="1:27" ht="14.25" x14ac:dyDescent="0.2">
      <c r="A169" s="17"/>
      <c r="B169" s="18"/>
      <c r="C169" s="18" t="s">
        <v>302</v>
      </c>
      <c r="D169" s="19"/>
      <c r="E169" s="10"/>
      <c r="F169" s="21">
        <f>Source!AL62</f>
        <v>35.92</v>
      </c>
      <c r="G169" s="20" t="str">
        <f>Source!DD62</f>
        <v/>
      </c>
      <c r="H169" s="10">
        <f>Source!AW62</f>
        <v>1.079</v>
      </c>
      <c r="I169" s="22">
        <f>ROUND((ROUND((Source!AC62*Source!AW62*Source!I62),2)),2)</f>
        <v>2713.04</v>
      </c>
      <c r="J169" s="10">
        <f>IF(Source!BC62&lt;&gt; 0, Source!BC62, 1)</f>
        <v>4.18</v>
      </c>
      <c r="K169" s="22">
        <f>Source!P62</f>
        <v>11340.51</v>
      </c>
    </row>
    <row r="170" spans="1:27" ht="99.75" x14ac:dyDescent="0.2">
      <c r="A170" s="17" t="str">
        <f>Source!E63</f>
        <v>27,1</v>
      </c>
      <c r="B170" s="18" t="str">
        <f>Source!F63</f>
        <v>1.1-1-1835</v>
      </c>
      <c r="C170" s="18" t="s">
        <v>72</v>
      </c>
      <c r="D170" s="19" t="str">
        <f>Source!H63</f>
        <v>кг</v>
      </c>
      <c r="E170" s="10">
        <f>Source!I63</f>
        <v>12544</v>
      </c>
      <c r="F170" s="21">
        <f>Source!AK63</f>
        <v>11.3</v>
      </c>
      <c r="G170" s="27" t="s">
        <v>6</v>
      </c>
      <c r="H170" s="10">
        <f>Source!AW63</f>
        <v>1.079</v>
      </c>
      <c r="I170" s="22">
        <f>ROUND((ROUND((Source!AC63*Source!AW63*Source!I63),2)),2)+(ROUND((ROUND(((Source!ET63)*Source!AV63*Source!I63),2)),2)+ROUND((ROUND(((Source!AE63-(Source!EU63))*Source!AV63*Source!I63),2)),2))+ROUND((ROUND((Source!AF63*Source!AV63*Source!I63),2)),2)</f>
        <v>152945.23000000001</v>
      </c>
      <c r="J170" s="10">
        <f>IF(Source!BC63&lt;&gt; 0, Source!BC63, 1)</f>
        <v>4.0199999999999996</v>
      </c>
      <c r="K170" s="22">
        <f>Source!O63</f>
        <v>614839.81999999995</v>
      </c>
      <c r="Q170">
        <f>ROUND((Source!DN63/100)*ROUND((ROUND((Source!AF63*Source!AV63*Source!I63),2)),2), 2)</f>
        <v>0</v>
      </c>
      <c r="R170">
        <f>Source!X63</f>
        <v>0</v>
      </c>
      <c r="S170">
        <f>ROUND((Source!DO63/100)*ROUND((ROUND((Source!AF63*Source!AV63*Source!I63),2)),2), 2)</f>
        <v>0</v>
      </c>
      <c r="T170">
        <f>Source!Y63</f>
        <v>0</v>
      </c>
      <c r="U170">
        <f>ROUND((175/100)*ROUND((ROUND((Source!AE63*Source!AV63*Source!I63),2)),2), 2)</f>
        <v>0</v>
      </c>
      <c r="V170">
        <f>ROUND((157/100)*ROUND(ROUND((ROUND((Source!AE63*Source!AV63*Source!I63),2)*Source!BS63),2), 2), 2)</f>
        <v>0</v>
      </c>
      <c r="X170">
        <f>IF(Source!BI63&lt;=1,I170, 0)</f>
        <v>152945.23000000001</v>
      </c>
      <c r="Y170">
        <f>IF(Source!BI63=2,I170, 0)</f>
        <v>0</v>
      </c>
      <c r="Z170">
        <f>IF(Source!BI63=3,I170, 0)</f>
        <v>0</v>
      </c>
      <c r="AA170">
        <f>IF(Source!BI63=4,I170, 0)</f>
        <v>0</v>
      </c>
    </row>
    <row r="171" spans="1:27" ht="85.5" x14ac:dyDescent="0.2">
      <c r="A171" s="17" t="str">
        <f>Source!E64</f>
        <v>27,2</v>
      </c>
      <c r="B171" s="18" t="str">
        <f>Source!F64</f>
        <v>1.12-5-708</v>
      </c>
      <c r="C171" s="18" t="s">
        <v>77</v>
      </c>
      <c r="D171" s="19" t="str">
        <f>Source!H64</f>
        <v>м</v>
      </c>
      <c r="E171" s="10">
        <f>Source!I64</f>
        <v>216</v>
      </c>
      <c r="F171" s="21">
        <f>Source!AK64</f>
        <v>707.02</v>
      </c>
      <c r="G171" s="27" t="s">
        <v>6</v>
      </c>
      <c r="H171" s="10">
        <f>Source!AW64</f>
        <v>1.079</v>
      </c>
      <c r="I171" s="22">
        <f>ROUND((ROUND((Source!AC64*Source!AW64*Source!I64),2)),2)+(ROUND((ROUND(((Source!ET64)*Source!AV64*Source!I64),2)),2)+ROUND((ROUND(((Source!AE64-(Source!EU64))*Source!AV64*Source!I64),2)),2))+ROUND((ROUND((Source!AF64*Source!AV64*Source!I64),2)),2)</f>
        <v>164780.91</v>
      </c>
      <c r="J171" s="10">
        <f>IF(Source!BC64&lt;&gt; 0, Source!BC64, 1)</f>
        <v>2.98</v>
      </c>
      <c r="K171" s="22">
        <f>Source!O64</f>
        <v>491047.11</v>
      </c>
      <c r="Q171">
        <f>ROUND((Source!DN64/100)*ROUND((ROUND((Source!AF64*Source!AV64*Source!I64),2)),2), 2)</f>
        <v>0</v>
      </c>
      <c r="R171">
        <f>Source!X64</f>
        <v>0</v>
      </c>
      <c r="S171">
        <f>ROUND((Source!DO64/100)*ROUND((ROUND((Source!AF64*Source!AV64*Source!I64),2)),2), 2)</f>
        <v>0</v>
      </c>
      <c r="T171">
        <f>Source!Y64</f>
        <v>0</v>
      </c>
      <c r="U171">
        <f>ROUND((175/100)*ROUND((ROUND((Source!AE64*Source!AV64*Source!I64),2)),2), 2)</f>
        <v>0</v>
      </c>
      <c r="V171">
        <f>ROUND((157/100)*ROUND(ROUND((ROUND((Source!AE64*Source!AV64*Source!I64),2)*Source!BS64),2), 2), 2)</f>
        <v>0</v>
      </c>
      <c r="X171">
        <f>IF(Source!BI64&lt;=1,I171, 0)</f>
        <v>164780.91</v>
      </c>
      <c r="Y171">
        <f>IF(Source!BI64=2,I171, 0)</f>
        <v>0</v>
      </c>
      <c r="Z171">
        <f>IF(Source!BI64=3,I171, 0)</f>
        <v>0</v>
      </c>
      <c r="AA171">
        <f>IF(Source!BI64=4,I171, 0)</f>
        <v>0</v>
      </c>
    </row>
    <row r="172" spans="1:27" ht="42.75" x14ac:dyDescent="0.2">
      <c r="A172" s="17" t="str">
        <f>Source!E65</f>
        <v>27,3</v>
      </c>
      <c r="B172" s="18" t="str">
        <f>Source!F65</f>
        <v>1.1-1-3290</v>
      </c>
      <c r="C172" s="18" t="s">
        <v>82</v>
      </c>
      <c r="D172" s="19" t="str">
        <f>Source!H65</f>
        <v>л</v>
      </c>
      <c r="E172" s="10">
        <f>Source!I65</f>
        <v>687.23199999999997</v>
      </c>
      <c r="F172" s="21">
        <f>Source!AK65</f>
        <v>95.37</v>
      </c>
      <c r="G172" s="27" t="s">
        <v>6</v>
      </c>
      <c r="H172" s="10">
        <f>Source!AW65</f>
        <v>1.079</v>
      </c>
      <c r="I172" s="22">
        <f>ROUND((ROUND((Source!AC65*Source!AW65*Source!I65),2)),2)+(ROUND((ROUND(((Source!ET65)*Source!AV65*Source!I65),2)),2)+ROUND((ROUND(((Source!AE65-(Source!EU65))*Source!AV65*Source!I65),2)),2))+ROUND((ROUND((Source!AF65*Source!AV65*Source!I65),2)),2)</f>
        <v>70719.08</v>
      </c>
      <c r="J172" s="10">
        <f>IF(Source!BC65&lt;&gt; 0, Source!BC65, 1)</f>
        <v>4.6900000000000004</v>
      </c>
      <c r="K172" s="22">
        <f>Source!O65</f>
        <v>331672.49</v>
      </c>
      <c r="Q172">
        <f>ROUND((Source!DN65/100)*ROUND((ROUND((Source!AF65*Source!AV65*Source!I65),2)),2), 2)</f>
        <v>0</v>
      </c>
      <c r="R172">
        <f>Source!X65</f>
        <v>0</v>
      </c>
      <c r="S172">
        <f>ROUND((Source!DO65/100)*ROUND((ROUND((Source!AF65*Source!AV65*Source!I65),2)),2), 2)</f>
        <v>0</v>
      </c>
      <c r="T172">
        <f>Source!Y65</f>
        <v>0</v>
      </c>
      <c r="U172">
        <f>ROUND((175/100)*ROUND((ROUND((Source!AE65*Source!AV65*Source!I65),2)),2), 2)</f>
        <v>0</v>
      </c>
      <c r="V172">
        <f>ROUND((157/100)*ROUND(ROUND((ROUND((Source!AE65*Source!AV65*Source!I65),2)*Source!BS65),2), 2), 2)</f>
        <v>0</v>
      </c>
      <c r="X172">
        <f>IF(Source!BI65&lt;=1,I172, 0)</f>
        <v>70719.08</v>
      </c>
      <c r="Y172">
        <f>IF(Source!BI65=2,I172, 0)</f>
        <v>0</v>
      </c>
      <c r="Z172">
        <f>IF(Source!BI65=3,I172, 0)</f>
        <v>0</v>
      </c>
      <c r="AA172">
        <f>IF(Source!BI65=4,I172, 0)</f>
        <v>0</v>
      </c>
    </row>
    <row r="173" spans="1:27" ht="14.25" x14ac:dyDescent="0.2">
      <c r="A173" s="17"/>
      <c r="B173" s="18"/>
      <c r="C173" s="18" t="s">
        <v>294</v>
      </c>
      <c r="D173" s="19" t="s">
        <v>295</v>
      </c>
      <c r="E173" s="10">
        <f>Source!DN62</f>
        <v>149</v>
      </c>
      <c r="F173" s="21"/>
      <c r="G173" s="20"/>
      <c r="H173" s="10"/>
      <c r="I173" s="22">
        <f>SUM(Q165:Q172)</f>
        <v>3338.32</v>
      </c>
      <c r="J173" s="10">
        <f>Source!BZ62</f>
        <v>119</v>
      </c>
      <c r="K173" s="22">
        <f>SUM(R165:R172)</f>
        <v>57136.05</v>
      </c>
    </row>
    <row r="174" spans="1:27" ht="14.25" x14ac:dyDescent="0.2">
      <c r="A174" s="17"/>
      <c r="B174" s="18"/>
      <c r="C174" s="18" t="s">
        <v>296</v>
      </c>
      <c r="D174" s="19" t="s">
        <v>295</v>
      </c>
      <c r="E174" s="10">
        <f>Source!DO62</f>
        <v>158</v>
      </c>
      <c r="F174" s="21"/>
      <c r="G174" s="20"/>
      <c r="H174" s="10"/>
      <c r="I174" s="22">
        <f>SUM(S165:S173)</f>
        <v>3539.96</v>
      </c>
      <c r="J174" s="10">
        <f>Source!CA62</f>
        <v>75</v>
      </c>
      <c r="K174" s="22">
        <f>SUM(T165:T173)</f>
        <v>36010.120000000003</v>
      </c>
    </row>
    <row r="175" spans="1:27" ht="14.25" x14ac:dyDescent="0.2">
      <c r="A175" s="17"/>
      <c r="B175" s="18"/>
      <c r="C175" s="18" t="s">
        <v>301</v>
      </c>
      <c r="D175" s="19" t="s">
        <v>295</v>
      </c>
      <c r="E175" s="10">
        <f>175</f>
        <v>175</v>
      </c>
      <c r="F175" s="21"/>
      <c r="G175" s="20"/>
      <c r="H175" s="10"/>
      <c r="I175" s="22">
        <f>SUM(U165:U174)</f>
        <v>14268.64</v>
      </c>
      <c r="J175" s="10">
        <f>157</f>
        <v>157</v>
      </c>
      <c r="K175" s="22">
        <f>SUM(V165:V174)</f>
        <v>274325.65999999997</v>
      </c>
    </row>
    <row r="176" spans="1:27" ht="14.25" x14ac:dyDescent="0.2">
      <c r="A176" s="17"/>
      <c r="B176" s="18"/>
      <c r="C176" s="18" t="s">
        <v>297</v>
      </c>
      <c r="D176" s="19" t="s">
        <v>298</v>
      </c>
      <c r="E176" s="10">
        <f>Source!AQ62</f>
        <v>2.2200000000000002</v>
      </c>
      <c r="F176" s="21"/>
      <c r="G176" s="20" t="str">
        <f>Source!DI62</f>
        <v/>
      </c>
      <c r="H176" s="10">
        <f>Source!AV62</f>
        <v>1.0469999999999999</v>
      </c>
      <c r="I176" s="22">
        <f>Source!U62</f>
        <v>162.7038</v>
      </c>
      <c r="J176" s="10"/>
      <c r="K176" s="22"/>
    </row>
    <row r="177" spans="1:27" ht="15" x14ac:dyDescent="0.25">
      <c r="A177" s="24"/>
      <c r="B177" s="24"/>
      <c r="C177" s="24"/>
      <c r="D177" s="24"/>
      <c r="E177" s="24"/>
      <c r="F177" s="24"/>
      <c r="G177" s="24"/>
      <c r="H177" s="41">
        <f>I166+I167+I169+I173+I174+I175+SUM(I170:I172)</f>
        <v>561502.37000000011</v>
      </c>
      <c r="I177" s="41"/>
      <c r="J177" s="41">
        <f>K166+K167+K169+K173+K174+K175+SUM(K170:K172)</f>
        <v>2784334.25</v>
      </c>
      <c r="K177" s="41"/>
      <c r="O177" s="23">
        <f>I166+I167+I169+I173+I174+I175+SUM(I170:I172)</f>
        <v>561502.37000000011</v>
      </c>
      <c r="P177" s="23">
        <f>K166+K167+K169+K173+K174+K175+SUM(K170:K172)</f>
        <v>2784334.25</v>
      </c>
      <c r="X177">
        <f>IF(Source!BI62&lt;=1,I166+I167+I169+I173+I174+I175-0, 0)</f>
        <v>173057.15000000002</v>
      </c>
      <c r="Y177">
        <f>IF(Source!BI62=2,I166+I167+I169+I173+I174+I175-0, 0)</f>
        <v>0</v>
      </c>
      <c r="Z177">
        <f>IF(Source!BI62=3,I166+I167+I169+I173+I174+I175-0, 0)</f>
        <v>0</v>
      </c>
      <c r="AA177">
        <f>IF(Source!BI62=4,I166+I167+I169+I173+I174+I175,0)</f>
        <v>0</v>
      </c>
    </row>
    <row r="178" spans="1:27" ht="28.5" x14ac:dyDescent="0.2">
      <c r="A178" s="17" t="str">
        <f>Source!E66</f>
        <v>29</v>
      </c>
      <c r="B178" s="18" t="str">
        <f>Source!F66</f>
        <v>3.22-56-2</v>
      </c>
      <c r="C178" s="18" t="s">
        <v>87</v>
      </c>
      <c r="D178" s="19" t="str">
        <f>Source!H66</f>
        <v>1 стык</v>
      </c>
      <c r="E178" s="10">
        <f>Source!I66</f>
        <v>18</v>
      </c>
      <c r="F178" s="21"/>
      <c r="G178" s="20"/>
      <c r="H178" s="10"/>
      <c r="I178" s="22"/>
      <c r="J178" s="10"/>
      <c r="K178" s="22"/>
      <c r="Q178">
        <f>ROUND((Source!DN66/100)*ROUND((ROUND((Source!AF66*Source!AV66*Source!I66),2)),2), 2)</f>
        <v>0</v>
      </c>
      <c r="R178">
        <f>Source!X66</f>
        <v>0</v>
      </c>
      <c r="S178">
        <f>ROUND((Source!DO66/100)*ROUND((ROUND((Source!AF66*Source!AV66*Source!I66),2)),2), 2)</f>
        <v>0</v>
      </c>
      <c r="T178">
        <f>Source!Y66</f>
        <v>0</v>
      </c>
      <c r="U178">
        <f>ROUND((175/100)*ROUND((ROUND((Source!AE66*Source!AV66*Source!I66),2)),2), 2)</f>
        <v>19.5</v>
      </c>
      <c r="V178">
        <f>ROUND((157/100)*ROUND(ROUND((ROUND((Source!AE66*Source!AV66*Source!I66),2)*Source!BS66),2), 2), 2)</f>
        <v>374.81</v>
      </c>
    </row>
    <row r="179" spans="1:27" ht="14.25" x14ac:dyDescent="0.2">
      <c r="A179" s="17"/>
      <c r="B179" s="18"/>
      <c r="C179" s="18" t="s">
        <v>299</v>
      </c>
      <c r="D179" s="19"/>
      <c r="E179" s="10"/>
      <c r="F179" s="21">
        <f>Source!AM66</f>
        <v>25.7</v>
      </c>
      <c r="G179" s="20" t="str">
        <f>Source!DE66</f>
        <v/>
      </c>
      <c r="H179" s="10">
        <f>Source!AV66</f>
        <v>1.0669999999999999</v>
      </c>
      <c r="I179" s="22">
        <f>(ROUND((ROUND(((Source!ET66)*Source!AV66*Source!I66),2)),2)+ROUND((ROUND(((Source!AE66-(Source!EU66))*Source!AV66*Source!I66),2)),2))</f>
        <v>493.59</v>
      </c>
      <c r="J179" s="10">
        <f>IF(Source!BB66&lt;&gt; 0, Source!BB66, 1)</f>
        <v>2.37</v>
      </c>
      <c r="K179" s="22">
        <f>Source!Q66</f>
        <v>1169.81</v>
      </c>
    </row>
    <row r="180" spans="1:27" ht="14.25" x14ac:dyDescent="0.2">
      <c r="A180" s="17"/>
      <c r="B180" s="18"/>
      <c r="C180" s="18" t="s">
        <v>300</v>
      </c>
      <c r="D180" s="19"/>
      <c r="E180" s="10"/>
      <c r="F180" s="21">
        <f>Source!AN66</f>
        <v>0.57999999999999996</v>
      </c>
      <c r="G180" s="20" t="str">
        <f>Source!DF66</f>
        <v/>
      </c>
      <c r="H180" s="10">
        <f>Source!AV66</f>
        <v>1.0669999999999999</v>
      </c>
      <c r="I180" s="26">
        <f>ROUND((ROUND((Source!AE66*Source!AV66*Source!I66),2)),2)</f>
        <v>11.14</v>
      </c>
      <c r="J180" s="10">
        <f>IF(Source!BS66&lt;&gt; 0, Source!BS66, 1)</f>
        <v>21.43</v>
      </c>
      <c r="K180" s="26">
        <f>Source!R66</f>
        <v>238.73</v>
      </c>
      <c r="W180">
        <f>I180</f>
        <v>11.14</v>
      </c>
    </row>
    <row r="181" spans="1:27" ht="14.25" x14ac:dyDescent="0.2">
      <c r="A181" s="17"/>
      <c r="B181" s="18"/>
      <c r="C181" s="18" t="s">
        <v>301</v>
      </c>
      <c r="D181" s="19" t="s">
        <v>295</v>
      </c>
      <c r="E181" s="10">
        <f>175</f>
        <v>175</v>
      </c>
      <c r="F181" s="21"/>
      <c r="G181" s="20"/>
      <c r="H181" s="10"/>
      <c r="I181" s="22">
        <f>SUM(U178:U180)</f>
        <v>19.5</v>
      </c>
      <c r="J181" s="10">
        <f>157</f>
        <v>157</v>
      </c>
      <c r="K181" s="22">
        <f>SUM(V178:V180)</f>
        <v>374.81</v>
      </c>
    </row>
    <row r="182" spans="1:27" ht="15" x14ac:dyDescent="0.25">
      <c r="A182" s="24"/>
      <c r="B182" s="24"/>
      <c r="C182" s="24"/>
      <c r="D182" s="24"/>
      <c r="E182" s="24"/>
      <c r="F182" s="24"/>
      <c r="G182" s="24"/>
      <c r="H182" s="41">
        <f>I179+I181</f>
        <v>513.08999999999992</v>
      </c>
      <c r="I182" s="41"/>
      <c r="J182" s="41">
        <f>K179+K181</f>
        <v>1544.62</v>
      </c>
      <c r="K182" s="41"/>
      <c r="O182" s="23">
        <f>I179+I181</f>
        <v>513.08999999999992</v>
      </c>
      <c r="P182" s="23">
        <f>K179+K181</f>
        <v>1544.62</v>
      </c>
      <c r="X182">
        <f>IF(Source!BI66&lt;=1,I179+I181-0, 0)</f>
        <v>513.08999999999992</v>
      </c>
      <c r="Y182">
        <f>IF(Source!BI66=2,I179+I181-0, 0)</f>
        <v>0</v>
      </c>
      <c r="Z182">
        <f>IF(Source!BI66=3,I179+I181-0, 0)</f>
        <v>0</v>
      </c>
      <c r="AA182">
        <f>IF(Source!BI66=4,I179+I181,0)</f>
        <v>0</v>
      </c>
    </row>
    <row r="183" spans="1:27" ht="42.75" x14ac:dyDescent="0.2">
      <c r="A183" s="17" t="str">
        <f>Source!E67</f>
        <v>30</v>
      </c>
      <c r="B183" s="18" t="str">
        <f>Source!F67</f>
        <v>3.4-21-4</v>
      </c>
      <c r="C183" s="18" t="s">
        <v>94</v>
      </c>
      <c r="D183" s="19" t="str">
        <f>Source!H67</f>
        <v>1  ШТ.</v>
      </c>
      <c r="E183" s="10">
        <f>Source!I67</f>
        <v>1</v>
      </c>
      <c r="F183" s="21"/>
      <c r="G183" s="20"/>
      <c r="H183" s="10"/>
      <c r="I183" s="22"/>
      <c r="J183" s="10"/>
      <c r="K183" s="22"/>
      <c r="Q183">
        <f>ROUND((Source!DN67/100)*ROUND((ROUND((Source!AF67*Source!AV67*Source!I67),2)),2), 2)</f>
        <v>5.1100000000000003</v>
      </c>
      <c r="R183">
        <f>Source!X67</f>
        <v>87.47</v>
      </c>
      <c r="S183">
        <f>ROUND((Source!DO67/100)*ROUND((ROUND((Source!AF67*Source!AV67*Source!I67),2)),2), 2)</f>
        <v>5.42</v>
      </c>
      <c r="T183">
        <f>Source!Y67</f>
        <v>55.13</v>
      </c>
      <c r="U183">
        <f>ROUND((175/100)*ROUND((ROUND((Source!AE67*Source!AV67*Source!I67),2)),2), 2)</f>
        <v>35.46</v>
      </c>
      <c r="V183">
        <f>ROUND((157/100)*ROUND(ROUND((ROUND((Source!AE67*Source!AV67*Source!I67),2)*Source!BS67),2), 2), 2)</f>
        <v>681.65</v>
      </c>
    </row>
    <row r="184" spans="1:27" ht="14.25" x14ac:dyDescent="0.2">
      <c r="A184" s="17"/>
      <c r="B184" s="18"/>
      <c r="C184" s="18" t="s">
        <v>293</v>
      </c>
      <c r="D184" s="19"/>
      <c r="E184" s="10"/>
      <c r="F184" s="21">
        <f>Source!AO67</f>
        <v>3.28</v>
      </c>
      <c r="G184" s="20" t="str">
        <f>Source!DG67</f>
        <v/>
      </c>
      <c r="H184" s="10">
        <f>Source!AV67</f>
        <v>1.0469999999999999</v>
      </c>
      <c r="I184" s="22">
        <f>ROUND((ROUND((Source!AF67*Source!AV67*Source!I67),2)),2)</f>
        <v>3.43</v>
      </c>
      <c r="J184" s="10">
        <f>IF(Source!BA67&lt;&gt; 0, Source!BA67, 1)</f>
        <v>21.43</v>
      </c>
      <c r="K184" s="22">
        <f>Source!S67</f>
        <v>73.5</v>
      </c>
      <c r="W184">
        <f>I184</f>
        <v>3.43</v>
      </c>
    </row>
    <row r="185" spans="1:27" ht="14.25" x14ac:dyDescent="0.2">
      <c r="A185" s="17"/>
      <c r="B185" s="18"/>
      <c r="C185" s="18" t="s">
        <v>299</v>
      </c>
      <c r="D185" s="19"/>
      <c r="E185" s="10"/>
      <c r="F185" s="21">
        <f>Source!AM67</f>
        <v>506.68</v>
      </c>
      <c r="G185" s="20" t="str">
        <f>Source!DE67</f>
        <v/>
      </c>
      <c r="H185" s="10">
        <f>Source!AV67</f>
        <v>1.0469999999999999</v>
      </c>
      <c r="I185" s="22">
        <f>(ROUND((ROUND(((Source!ET67)*Source!AV67*Source!I67),2)),2)+ROUND((ROUND(((Source!AE67-(Source!EU67))*Source!AV67*Source!I67),2)),2))</f>
        <v>530.49</v>
      </c>
      <c r="J185" s="10">
        <f>IF(Source!BB67&lt;&gt; 0, Source!BB67, 1)</f>
        <v>5.9</v>
      </c>
      <c r="K185" s="22">
        <f>Source!Q67</f>
        <v>3129.89</v>
      </c>
    </row>
    <row r="186" spans="1:27" ht="14.25" x14ac:dyDescent="0.2">
      <c r="A186" s="17"/>
      <c r="B186" s="18"/>
      <c r="C186" s="18" t="s">
        <v>300</v>
      </c>
      <c r="D186" s="19"/>
      <c r="E186" s="10"/>
      <c r="F186" s="21">
        <f>Source!AN67</f>
        <v>19.350000000000001</v>
      </c>
      <c r="G186" s="20" t="str">
        <f>Source!DF67</f>
        <v/>
      </c>
      <c r="H186" s="10">
        <f>Source!AV67</f>
        <v>1.0469999999999999</v>
      </c>
      <c r="I186" s="26">
        <f>ROUND((ROUND((Source!AE67*Source!AV67*Source!I67),2)),2)</f>
        <v>20.260000000000002</v>
      </c>
      <c r="J186" s="10">
        <f>IF(Source!BS67&lt;&gt; 0, Source!BS67, 1)</f>
        <v>21.43</v>
      </c>
      <c r="K186" s="26">
        <f>Source!R67</f>
        <v>434.17</v>
      </c>
      <c r="W186">
        <f>I186</f>
        <v>20.260000000000002</v>
      </c>
    </row>
    <row r="187" spans="1:27" ht="14.25" x14ac:dyDescent="0.2">
      <c r="A187" s="17"/>
      <c r="B187" s="18"/>
      <c r="C187" s="18" t="s">
        <v>294</v>
      </c>
      <c r="D187" s="19" t="s">
        <v>295</v>
      </c>
      <c r="E187" s="10">
        <f>Source!DN67</f>
        <v>149</v>
      </c>
      <c r="F187" s="21"/>
      <c r="G187" s="20"/>
      <c r="H187" s="10"/>
      <c r="I187" s="22">
        <f>SUM(Q183:Q186)</f>
        <v>5.1100000000000003</v>
      </c>
      <c r="J187" s="10">
        <f>Source!BZ67</f>
        <v>119</v>
      </c>
      <c r="K187" s="22">
        <f>SUM(R183:R186)</f>
        <v>87.47</v>
      </c>
    </row>
    <row r="188" spans="1:27" ht="14.25" x14ac:dyDescent="0.2">
      <c r="A188" s="17"/>
      <c r="B188" s="18"/>
      <c r="C188" s="18" t="s">
        <v>296</v>
      </c>
      <c r="D188" s="19" t="s">
        <v>295</v>
      </c>
      <c r="E188" s="10">
        <f>Source!DO67</f>
        <v>158</v>
      </c>
      <c r="F188" s="21"/>
      <c r="G188" s="20"/>
      <c r="H188" s="10"/>
      <c r="I188" s="22">
        <f>SUM(S183:S187)</f>
        <v>5.42</v>
      </c>
      <c r="J188" s="10">
        <f>Source!CA67</f>
        <v>75</v>
      </c>
      <c r="K188" s="22">
        <f>SUM(T183:T187)</f>
        <v>55.13</v>
      </c>
    </row>
    <row r="189" spans="1:27" ht="14.25" x14ac:dyDescent="0.2">
      <c r="A189" s="17"/>
      <c r="B189" s="18"/>
      <c r="C189" s="18" t="s">
        <v>301</v>
      </c>
      <c r="D189" s="19" t="s">
        <v>295</v>
      </c>
      <c r="E189" s="10">
        <f>175</f>
        <v>175</v>
      </c>
      <c r="F189" s="21"/>
      <c r="G189" s="20"/>
      <c r="H189" s="10"/>
      <c r="I189" s="22">
        <f>SUM(U183:U188)</f>
        <v>35.46</v>
      </c>
      <c r="J189" s="10">
        <f>157</f>
        <v>157</v>
      </c>
      <c r="K189" s="22">
        <f>SUM(V183:V188)</f>
        <v>681.65</v>
      </c>
    </row>
    <row r="190" spans="1:27" ht="14.25" x14ac:dyDescent="0.2">
      <c r="A190" s="17"/>
      <c r="B190" s="18"/>
      <c r="C190" s="18" t="s">
        <v>297</v>
      </c>
      <c r="D190" s="19" t="s">
        <v>298</v>
      </c>
      <c r="E190" s="10">
        <f>Source!AQ67</f>
        <v>0.26</v>
      </c>
      <c r="F190" s="21"/>
      <c r="G190" s="20" t="str">
        <f>Source!DI67</f>
        <v/>
      </c>
      <c r="H190" s="10">
        <f>Source!AV67</f>
        <v>1.0469999999999999</v>
      </c>
      <c r="I190" s="22">
        <f>Source!U67</f>
        <v>0.27222000000000002</v>
      </c>
      <c r="J190" s="10"/>
      <c r="K190" s="22"/>
    </row>
    <row r="191" spans="1:27" ht="15" x14ac:dyDescent="0.25">
      <c r="A191" s="24"/>
      <c r="B191" s="24"/>
      <c r="C191" s="24"/>
      <c r="D191" s="24"/>
      <c r="E191" s="24"/>
      <c r="F191" s="24"/>
      <c r="G191" s="24"/>
      <c r="H191" s="41">
        <f>I184+I185+I187+I188+I189</f>
        <v>579.91</v>
      </c>
      <c r="I191" s="41"/>
      <c r="J191" s="41">
        <f>K184+K185+K187+K188+K189</f>
        <v>4027.64</v>
      </c>
      <c r="K191" s="41"/>
      <c r="O191" s="23">
        <f>I184+I185+I187+I188+I189</f>
        <v>579.91</v>
      </c>
      <c r="P191" s="23">
        <f>K184+K185+K187+K188+K189</f>
        <v>4027.64</v>
      </c>
      <c r="X191">
        <f>IF(Source!BI67&lt;=1,I184+I185+I187+I188+I189-0, 0)</f>
        <v>579.91</v>
      </c>
      <c r="Y191">
        <f>IF(Source!BI67=2,I184+I185+I187+I188+I189-0, 0)</f>
        <v>0</v>
      </c>
      <c r="Z191">
        <f>IF(Source!BI67=3,I184+I185+I187+I188+I189-0, 0)</f>
        <v>0</v>
      </c>
      <c r="AA191">
        <f>IF(Source!BI67=4,I184+I185+I187+I188+I189,0)</f>
        <v>0</v>
      </c>
    </row>
    <row r="193" spans="1:27" ht="15" x14ac:dyDescent="0.25">
      <c r="A193" s="44" t="str">
        <f>CONCATENATE("Итого по подразделу: ",IF(Source!G69&lt;&gt;"Новый подраздел", Source!G69, ""))</f>
        <v>Итого по подразделу: Строительные работы</v>
      </c>
      <c r="B193" s="44"/>
      <c r="C193" s="44"/>
      <c r="D193" s="44"/>
      <c r="E193" s="44"/>
      <c r="F193" s="44"/>
      <c r="G193" s="44"/>
      <c r="H193" s="42">
        <f>SUM(O23:O192)</f>
        <v>2412687.7000000002</v>
      </c>
      <c r="I193" s="43"/>
      <c r="J193" s="42">
        <f>SUM(P23:P192)</f>
        <v>12016912.83</v>
      </c>
      <c r="K193" s="43"/>
    </row>
    <row r="194" spans="1:27" hidden="1" x14ac:dyDescent="0.2">
      <c r="A194" t="s">
        <v>303</v>
      </c>
      <c r="I194">
        <f>SUM(AC23:AC193)</f>
        <v>0</v>
      </c>
      <c r="J194">
        <f>SUM(AD23:AD193)</f>
        <v>0</v>
      </c>
    </row>
    <row r="195" spans="1:27" hidden="1" x14ac:dyDescent="0.2">
      <c r="A195" t="s">
        <v>304</v>
      </c>
      <c r="I195">
        <f>SUM(AE23:AE194)</f>
        <v>0</v>
      </c>
      <c r="J195">
        <f>SUM(AF23:AF194)</f>
        <v>0</v>
      </c>
    </row>
    <row r="197" spans="1:27" ht="16.5" x14ac:dyDescent="0.25">
      <c r="A197" s="40" t="str">
        <f>CONCATENATE("Подраздел: ",IF(Source!G99&lt;&gt;"Новый подраздел", Source!G99, ""))</f>
        <v>Подраздел: Монтажные рвботы</v>
      </c>
      <c r="B197" s="40"/>
      <c r="C197" s="40"/>
      <c r="D197" s="40"/>
      <c r="E197" s="40"/>
      <c r="F197" s="40"/>
      <c r="G197" s="40"/>
      <c r="H197" s="40"/>
      <c r="I197" s="40"/>
      <c r="J197" s="40"/>
      <c r="K197" s="40"/>
    </row>
    <row r="198" spans="1:27" ht="42.75" x14ac:dyDescent="0.2">
      <c r="A198" s="17" t="str">
        <f>Source!E103</f>
        <v>1</v>
      </c>
      <c r="B198" s="18" t="str">
        <f>Source!F103</f>
        <v>4.10-115-29</v>
      </c>
      <c r="C198" s="18" t="s">
        <v>176</v>
      </c>
      <c r="D198" s="19" t="str">
        <f>Source!H103</f>
        <v>канал</v>
      </c>
      <c r="E198" s="10">
        <f>Source!I103</f>
        <v>24</v>
      </c>
      <c r="F198" s="21"/>
      <c r="G198" s="20"/>
      <c r="H198" s="10"/>
      <c r="I198" s="22"/>
      <c r="J198" s="10"/>
      <c r="K198" s="22"/>
      <c r="Q198">
        <f>ROUND((Source!DN103/100)*ROUND((ROUND((Source!AF103*Source!AV103*Source!I103),2)),2), 2)</f>
        <v>35.46</v>
      </c>
      <c r="R198">
        <f>Source!X103</f>
        <v>610.62</v>
      </c>
      <c r="S198">
        <f>ROUND((Source!DO103/100)*ROUND((ROUND((Source!AF103*Source!AV103*Source!I103),2)),2), 2)</f>
        <v>22.16</v>
      </c>
      <c r="T198">
        <f>Source!Y103</f>
        <v>291.74</v>
      </c>
      <c r="U198">
        <f>ROUND((175/100)*ROUND((ROUND((Source!AE103*Source!AV103*Source!I103),2)),2), 2)</f>
        <v>0</v>
      </c>
      <c r="V198">
        <f>ROUND((157/100)*ROUND(ROUND((ROUND((Source!AE103*Source!AV103*Source!I103),2)*Source!BS103),2), 2), 2)</f>
        <v>0</v>
      </c>
    </row>
    <row r="199" spans="1:27" ht="14.25" x14ac:dyDescent="0.2">
      <c r="A199" s="17"/>
      <c r="B199" s="18"/>
      <c r="C199" s="18" t="s">
        <v>293</v>
      </c>
      <c r="D199" s="19"/>
      <c r="E199" s="10"/>
      <c r="F199" s="21">
        <f>Source!AO103</f>
        <v>1.26</v>
      </c>
      <c r="G199" s="20" t="str">
        <f>Source!DG103</f>
        <v/>
      </c>
      <c r="H199" s="10">
        <f>Source!AV103</f>
        <v>1.0469999999999999</v>
      </c>
      <c r="I199" s="22">
        <f>ROUND((ROUND((Source!AF103*Source!AV103*Source!I103),2)),2)</f>
        <v>31.66</v>
      </c>
      <c r="J199" s="10">
        <f>IF(Source!BA103&lt;&gt; 0, Source!BA103, 1)</f>
        <v>21.43</v>
      </c>
      <c r="K199" s="22">
        <f>Source!S103</f>
        <v>678.47</v>
      </c>
      <c r="W199">
        <f>I199</f>
        <v>31.66</v>
      </c>
    </row>
    <row r="200" spans="1:27" ht="14.25" x14ac:dyDescent="0.2">
      <c r="A200" s="17"/>
      <c r="B200" s="18"/>
      <c r="C200" s="18" t="s">
        <v>302</v>
      </c>
      <c r="D200" s="19"/>
      <c r="E200" s="10"/>
      <c r="F200" s="21">
        <f>Source!AL103</f>
        <v>11.3</v>
      </c>
      <c r="G200" s="20" t="str">
        <f>Source!DD103</f>
        <v/>
      </c>
      <c r="H200" s="10">
        <f>Source!AW103</f>
        <v>1</v>
      </c>
      <c r="I200" s="22">
        <f>ROUND((ROUND((Source!AC103*Source!AW103*Source!I103),2)),2)</f>
        <v>271.2</v>
      </c>
      <c r="J200" s="10">
        <f>IF(Source!BC103&lt;&gt; 0, Source!BC103, 1)</f>
        <v>5.36</v>
      </c>
      <c r="K200" s="22">
        <f>Source!P103</f>
        <v>1453.63</v>
      </c>
    </row>
    <row r="201" spans="1:27" ht="14.25" x14ac:dyDescent="0.2">
      <c r="A201" s="17"/>
      <c r="B201" s="18"/>
      <c r="C201" s="18" t="s">
        <v>294</v>
      </c>
      <c r="D201" s="19" t="s">
        <v>295</v>
      </c>
      <c r="E201" s="10">
        <f>Source!DN103</f>
        <v>112</v>
      </c>
      <c r="F201" s="21"/>
      <c r="G201" s="20"/>
      <c r="H201" s="10"/>
      <c r="I201" s="22">
        <f>SUM(Q198:Q200)</f>
        <v>35.46</v>
      </c>
      <c r="J201" s="10">
        <f>Source!BZ103</f>
        <v>90</v>
      </c>
      <c r="K201" s="22">
        <f>SUM(R198:R200)</f>
        <v>610.62</v>
      </c>
    </row>
    <row r="202" spans="1:27" ht="14.25" x14ac:dyDescent="0.2">
      <c r="A202" s="17"/>
      <c r="B202" s="18"/>
      <c r="C202" s="18" t="s">
        <v>296</v>
      </c>
      <c r="D202" s="19" t="s">
        <v>295</v>
      </c>
      <c r="E202" s="10">
        <f>Source!DO103</f>
        <v>70</v>
      </c>
      <c r="F202" s="21"/>
      <c r="G202" s="20"/>
      <c r="H202" s="10"/>
      <c r="I202" s="22">
        <f>SUM(S198:S201)</f>
        <v>22.16</v>
      </c>
      <c r="J202" s="10">
        <f>Source!CA103</f>
        <v>43</v>
      </c>
      <c r="K202" s="22">
        <f>SUM(T198:T201)</f>
        <v>291.74</v>
      </c>
    </row>
    <row r="203" spans="1:27" ht="14.25" x14ac:dyDescent="0.2">
      <c r="A203" s="17"/>
      <c r="B203" s="18"/>
      <c r="C203" s="18" t="s">
        <v>297</v>
      </c>
      <c r="D203" s="19" t="s">
        <v>298</v>
      </c>
      <c r="E203" s="10">
        <f>Source!AQ103</f>
        <v>0.1</v>
      </c>
      <c r="F203" s="21"/>
      <c r="G203" s="20" t="str">
        <f>Source!DI103</f>
        <v/>
      </c>
      <c r="H203" s="10">
        <f>Source!AV103</f>
        <v>1.0469999999999999</v>
      </c>
      <c r="I203" s="22">
        <f>Source!U103</f>
        <v>2.5127999999999999</v>
      </c>
      <c r="J203" s="10"/>
      <c r="K203" s="22"/>
    </row>
    <row r="204" spans="1:27" ht="15" x14ac:dyDescent="0.25">
      <c r="A204" s="24"/>
      <c r="B204" s="24"/>
      <c r="C204" s="24"/>
      <c r="D204" s="24"/>
      <c r="E204" s="24"/>
      <c r="F204" s="24"/>
      <c r="G204" s="24"/>
      <c r="H204" s="41">
        <f>I199+I200+I201+I202</f>
        <v>360.48</v>
      </c>
      <c r="I204" s="41"/>
      <c r="J204" s="41">
        <f>K199+K200+K201+K202</f>
        <v>3034.46</v>
      </c>
      <c r="K204" s="41"/>
      <c r="O204" s="23">
        <f>I199+I200+I201+I202</f>
        <v>360.48</v>
      </c>
      <c r="P204" s="23">
        <f>K199+K200+K201+K202</f>
        <v>3034.46</v>
      </c>
      <c r="X204">
        <f>IF(Source!BI103&lt;=1,I199+I200+I201+I202-0, 0)</f>
        <v>0</v>
      </c>
      <c r="Y204">
        <f>IF(Source!BI103=2,I199+I200+I201+I202-0, 0)</f>
        <v>360.48</v>
      </c>
      <c r="Z204">
        <f>IF(Source!BI103=3,I199+I200+I201+I202-0, 0)</f>
        <v>0</v>
      </c>
      <c r="AA204">
        <f>IF(Source!BI103=4,I199+I200+I201+I202,0)</f>
        <v>0</v>
      </c>
    </row>
    <row r="205" spans="1:27" ht="28.5" x14ac:dyDescent="0.2">
      <c r="A205" s="17" t="str">
        <f>Source!E104</f>
        <v>3</v>
      </c>
      <c r="B205" s="18" t="str">
        <f>Source!F104</f>
        <v>1.12-5-236</v>
      </c>
      <c r="C205" s="18" t="s">
        <v>183</v>
      </c>
      <c r="D205" s="19" t="str">
        <f>Source!H104</f>
        <v>шт.</v>
      </c>
      <c r="E205" s="10">
        <f>Source!I104</f>
        <v>24</v>
      </c>
      <c r="F205" s="21">
        <f>Source!AL104</f>
        <v>31.27</v>
      </c>
      <c r="G205" s="20" t="str">
        <f>Source!DD104</f>
        <v/>
      </c>
      <c r="H205" s="10">
        <f>Source!AW104</f>
        <v>1</v>
      </c>
      <c r="I205" s="22">
        <f>ROUND((ROUND((Source!AC104*Source!AW104*Source!I104),2)),2)</f>
        <v>750.48</v>
      </c>
      <c r="J205" s="10">
        <f>IF(Source!BC104&lt;&gt; 0, Source!BC104, 1)</f>
        <v>1.46</v>
      </c>
      <c r="K205" s="22">
        <f>Source!P104</f>
        <v>1095.7</v>
      </c>
      <c r="Q205">
        <f>ROUND((Source!DN104/100)*ROUND((ROUND((Source!AF104*Source!AV104*Source!I104),2)),2), 2)</f>
        <v>0</v>
      </c>
      <c r="R205">
        <f>Source!X104</f>
        <v>0</v>
      </c>
      <c r="S205">
        <f>ROUND((Source!DO104/100)*ROUND((ROUND((Source!AF104*Source!AV104*Source!I104),2)),2), 2)</f>
        <v>0</v>
      </c>
      <c r="T205">
        <f>Source!Y104</f>
        <v>0</v>
      </c>
      <c r="U205">
        <f>ROUND((175/100)*ROUND((ROUND((Source!AE104*Source!AV104*Source!I104),2)),2), 2)</f>
        <v>0</v>
      </c>
      <c r="V205">
        <f>ROUND((157/100)*ROUND(ROUND((ROUND((Source!AE104*Source!AV104*Source!I104),2)*Source!BS104),2), 2), 2)</f>
        <v>0</v>
      </c>
    </row>
    <row r="206" spans="1:27" ht="15" x14ac:dyDescent="0.25">
      <c r="A206" s="24"/>
      <c r="B206" s="24"/>
      <c r="C206" s="24"/>
      <c r="D206" s="24"/>
      <c r="E206" s="24"/>
      <c r="F206" s="24"/>
      <c r="G206" s="24"/>
      <c r="H206" s="41">
        <f>I205</f>
        <v>750.48</v>
      </c>
      <c r="I206" s="41"/>
      <c r="J206" s="41">
        <f>K205</f>
        <v>1095.7</v>
      </c>
      <c r="K206" s="41"/>
      <c r="O206" s="23">
        <f>I205</f>
        <v>750.48</v>
      </c>
      <c r="P206" s="23">
        <f>K205</f>
        <v>1095.7</v>
      </c>
      <c r="X206">
        <f>IF(Source!BI104&lt;=1,I205-0, 0)</f>
        <v>750.48</v>
      </c>
      <c r="Y206">
        <f>IF(Source!BI104=2,I205-0, 0)</f>
        <v>0</v>
      </c>
      <c r="Z206">
        <f>IF(Source!BI104=3,I205-0, 0)</f>
        <v>0</v>
      </c>
      <c r="AA206">
        <f>IF(Source!BI104=4,I205,0)</f>
        <v>0</v>
      </c>
    </row>
    <row r="208" spans="1:27" ht="15" x14ac:dyDescent="0.25">
      <c r="A208" s="44" t="str">
        <f>CONCATENATE("Итого по подразделу: ",IF(Source!G106&lt;&gt;"Новый подраздел", Source!G106, ""))</f>
        <v>Итого по подразделу: Монтажные рвботы</v>
      </c>
      <c r="B208" s="44"/>
      <c r="C208" s="44"/>
      <c r="D208" s="44"/>
      <c r="E208" s="44"/>
      <c r="F208" s="44"/>
      <c r="G208" s="44"/>
      <c r="H208" s="42">
        <f>SUM(O197:O207)</f>
        <v>1110.96</v>
      </c>
      <c r="I208" s="43"/>
      <c r="J208" s="42">
        <f>SUM(P197:P207)</f>
        <v>4130.16</v>
      </c>
      <c r="K208" s="43"/>
    </row>
    <row r="209" spans="1:27" hidden="1" x14ac:dyDescent="0.2">
      <c r="A209" t="s">
        <v>303</v>
      </c>
      <c r="I209">
        <f>SUM(AC197:AC208)</f>
        <v>0</v>
      </c>
      <c r="J209">
        <f>SUM(AD197:AD208)</f>
        <v>0</v>
      </c>
    </row>
    <row r="210" spans="1:27" hidden="1" x14ac:dyDescent="0.2">
      <c r="A210" t="s">
        <v>304</v>
      </c>
      <c r="I210">
        <f>SUM(AE197:AE209)</f>
        <v>0</v>
      </c>
      <c r="J210">
        <f>SUM(AF197:AF209)</f>
        <v>0</v>
      </c>
    </row>
    <row r="212" spans="1:27" ht="16.5" x14ac:dyDescent="0.25">
      <c r="A212" s="40" t="str">
        <f>CONCATENATE("Подраздел: ",IF(Source!G136&lt;&gt;"Новый подраздел", Source!G136, ""))</f>
        <v>Подраздел: Прочие</v>
      </c>
      <c r="B212" s="40"/>
      <c r="C212" s="40"/>
      <c r="D212" s="40"/>
      <c r="E212" s="40"/>
      <c r="F212" s="40"/>
      <c r="G212" s="40"/>
      <c r="H212" s="40"/>
      <c r="I212" s="40"/>
      <c r="J212" s="40"/>
      <c r="K212" s="40"/>
    </row>
    <row r="213" spans="1:27" ht="42.75" x14ac:dyDescent="0.2">
      <c r="A213" s="17" t="str">
        <f>Source!E140</f>
        <v>1</v>
      </c>
      <c r="B213" s="18" t="str">
        <f>Source!F140</f>
        <v>15.1-30-1</v>
      </c>
      <c r="C213" s="18" t="s">
        <v>187</v>
      </c>
      <c r="D213" s="19" t="str">
        <f>Source!H140</f>
        <v>1 м3</v>
      </c>
      <c r="E213" s="10">
        <f>Source!I140</f>
        <v>21.6</v>
      </c>
      <c r="F213" s="21"/>
      <c r="G213" s="20"/>
      <c r="H213" s="10"/>
      <c r="I213" s="22"/>
      <c r="J213" s="10"/>
      <c r="K213" s="22"/>
      <c r="Q213">
        <f>ROUND((Source!DN140/100)*ROUND((ROUND((Source!AF140*Source!AV140*Source!I140),2)),2), 2)</f>
        <v>0</v>
      </c>
      <c r="R213">
        <f>Source!X140</f>
        <v>0</v>
      </c>
      <c r="S213">
        <f>ROUND((Source!DO140/100)*ROUND((ROUND((Source!AF140*Source!AV140*Source!I140),2)),2), 2)</f>
        <v>0</v>
      </c>
      <c r="T213">
        <f>Source!Y140</f>
        <v>0</v>
      </c>
      <c r="U213">
        <f>ROUND((175/100)*ROUND((ROUND((Source!AE140*Source!AV140*Source!I140),2)),2), 2)</f>
        <v>0</v>
      </c>
      <c r="V213">
        <f>ROUND((157/100)*ROUND(ROUND((ROUND((Source!AE140*Source!AV140*Source!I140),2)*Source!BS140),2), 2), 2)</f>
        <v>0</v>
      </c>
    </row>
    <row r="214" spans="1:27" ht="14.25" x14ac:dyDescent="0.2">
      <c r="A214" s="17"/>
      <c r="B214" s="18"/>
      <c r="C214" s="18" t="s">
        <v>299</v>
      </c>
      <c r="D214" s="19"/>
      <c r="E214" s="10"/>
      <c r="F214" s="21">
        <f>Source!AM140</f>
        <v>55.05</v>
      </c>
      <c r="G214" s="20" t="str">
        <f>Source!DE140</f>
        <v/>
      </c>
      <c r="H214" s="10">
        <f>Source!AV140</f>
        <v>1</v>
      </c>
      <c r="I214" s="22">
        <f>(ROUND((ROUND(((Source!ET140)*Source!AV140*Source!I140),2)),2)+ROUND((ROUND(((Source!AE140-(Source!EU140))*Source!AV140*Source!I140),2)),2))</f>
        <v>1189.08</v>
      </c>
      <c r="J214" s="10">
        <f>IF(Source!BB140&lt;&gt; 0, Source!BB140, 1)</f>
        <v>8.81</v>
      </c>
      <c r="K214" s="22">
        <f>Source!Q140</f>
        <v>10475.790000000001</v>
      </c>
    </row>
    <row r="215" spans="1:27" ht="15" x14ac:dyDescent="0.25">
      <c r="A215" s="24"/>
      <c r="B215" s="24"/>
      <c r="C215" s="24"/>
      <c r="D215" s="24"/>
      <c r="E215" s="24"/>
      <c r="F215" s="24"/>
      <c r="G215" s="24"/>
      <c r="H215" s="41">
        <f>I214</f>
        <v>1189.08</v>
      </c>
      <c r="I215" s="41"/>
      <c r="J215" s="41">
        <f>K214</f>
        <v>10475.790000000001</v>
      </c>
      <c r="K215" s="41"/>
      <c r="O215" s="23">
        <f>I214</f>
        <v>1189.08</v>
      </c>
      <c r="P215" s="23">
        <f>K214</f>
        <v>10475.790000000001</v>
      </c>
      <c r="X215">
        <f>IF(Source!BI140&lt;=1,I214-0, 0)</f>
        <v>0</v>
      </c>
      <c r="Y215">
        <f>IF(Source!BI140=2,I214-0, 0)</f>
        <v>0</v>
      </c>
      <c r="Z215">
        <f>IF(Source!BI140=3,I214-0, 0)</f>
        <v>0</v>
      </c>
      <c r="AA215">
        <f>IF(Source!BI140=4,I214,0)</f>
        <v>1189.08</v>
      </c>
    </row>
    <row r="216" spans="1:27" ht="71.25" x14ac:dyDescent="0.2">
      <c r="A216" s="17" t="str">
        <f>Source!E141</f>
        <v>2</v>
      </c>
      <c r="B216" s="18" t="str">
        <f>Source!F141</f>
        <v>15.1-0-9</v>
      </c>
      <c r="C216" s="18" t="s">
        <v>195</v>
      </c>
      <c r="D216" s="19" t="str">
        <f>Source!H141</f>
        <v>1 Т</v>
      </c>
      <c r="E216" s="10">
        <f>Source!I141</f>
        <v>38.880000000000003</v>
      </c>
      <c r="F216" s="21"/>
      <c r="G216" s="20"/>
      <c r="H216" s="10"/>
      <c r="I216" s="22"/>
      <c r="J216" s="10"/>
      <c r="K216" s="22"/>
      <c r="Q216">
        <f>ROUND((Source!DN141/100)*ROUND((ROUND((Source!AF141*Source!AV141*Source!I141),2)),2), 2)</f>
        <v>0</v>
      </c>
      <c r="R216">
        <f>Source!X141</f>
        <v>0</v>
      </c>
      <c r="S216">
        <f>ROUND((Source!DO141/100)*ROUND((ROUND((Source!AF141*Source!AV141*Source!I141),2)),2), 2)</f>
        <v>0</v>
      </c>
      <c r="T216">
        <f>Source!Y141</f>
        <v>0</v>
      </c>
      <c r="U216">
        <f>ROUND((175/100)*ROUND((ROUND((Source!AE141*Source!AV141*Source!I141),2)),2), 2)</f>
        <v>0</v>
      </c>
      <c r="V216">
        <f>ROUND((157/100)*ROUND(ROUND((ROUND((Source!AE141*Source!AV141*Source!I141),2)*Source!BS141),2), 2), 2)</f>
        <v>0</v>
      </c>
    </row>
    <row r="217" spans="1:27" ht="14.25" x14ac:dyDescent="0.2">
      <c r="A217" s="17"/>
      <c r="B217" s="18"/>
      <c r="C217" s="18" t="s">
        <v>299</v>
      </c>
      <c r="D217" s="19"/>
      <c r="E217" s="10"/>
      <c r="F217" s="21">
        <f>Source!AM141</f>
        <v>43.28</v>
      </c>
      <c r="G217" s="20" t="str">
        <f>Source!DE141</f>
        <v/>
      </c>
      <c r="H217" s="10">
        <f>Source!AV141</f>
        <v>1</v>
      </c>
      <c r="I217" s="22">
        <f>(ROUND((ROUND(((Source!ET141)*Source!AV141*Source!I141),2)),2)+ROUND((ROUND(((Source!AE141-(Source!EU141))*Source!AV141*Source!I141),2)),2))</f>
        <v>1682.73</v>
      </c>
      <c r="J217" s="10">
        <f>IF(Source!BB141&lt;&gt; 0, Source!BB141, 1)</f>
        <v>2.87</v>
      </c>
      <c r="K217" s="22">
        <f>Source!Q141</f>
        <v>4829.4399999999996</v>
      </c>
    </row>
    <row r="218" spans="1:27" ht="15" x14ac:dyDescent="0.25">
      <c r="A218" s="24"/>
      <c r="B218" s="24"/>
      <c r="C218" s="24"/>
      <c r="D218" s="24"/>
      <c r="E218" s="24"/>
      <c r="F218" s="24"/>
      <c r="G218" s="24"/>
      <c r="H218" s="41">
        <f>I217</f>
        <v>1682.73</v>
      </c>
      <c r="I218" s="41"/>
      <c r="J218" s="41">
        <f>K217</f>
        <v>4829.4399999999996</v>
      </c>
      <c r="K218" s="41"/>
      <c r="O218" s="23">
        <f>I217</f>
        <v>1682.73</v>
      </c>
      <c r="P218" s="23">
        <f>K217</f>
        <v>4829.4399999999996</v>
      </c>
      <c r="X218">
        <f>IF(Source!BI141&lt;=1,I217-0, 0)</f>
        <v>0</v>
      </c>
      <c r="Y218">
        <f>IF(Source!BI141=2,I217-0, 0)</f>
        <v>0</v>
      </c>
      <c r="Z218">
        <f>IF(Source!BI141=3,I217-0, 0)</f>
        <v>0</v>
      </c>
      <c r="AA218">
        <f>IF(Source!BI141=4,I217,0)</f>
        <v>1682.73</v>
      </c>
    </row>
    <row r="220" spans="1:27" ht="15" x14ac:dyDescent="0.25">
      <c r="A220" s="44" t="str">
        <f>CONCATENATE("Итого по подразделу: ",IF(Source!G143&lt;&gt;"Новый подраздел", Source!G143, ""))</f>
        <v>Итого по подразделу: Прочие</v>
      </c>
      <c r="B220" s="44"/>
      <c r="C220" s="44"/>
      <c r="D220" s="44"/>
      <c r="E220" s="44"/>
      <c r="F220" s="44"/>
      <c r="G220" s="44"/>
      <c r="H220" s="42">
        <f>SUM(O212:O219)</f>
        <v>2871.81</v>
      </c>
      <c r="I220" s="43"/>
      <c r="J220" s="42">
        <f>SUM(P212:P219)</f>
        <v>15305.23</v>
      </c>
      <c r="K220" s="43"/>
    </row>
    <row r="221" spans="1:27" hidden="1" x14ac:dyDescent="0.2">
      <c r="A221" t="s">
        <v>303</v>
      </c>
      <c r="I221">
        <f>SUM(AC212:AC220)</f>
        <v>0</v>
      </c>
      <c r="J221">
        <f>SUM(AD212:AD220)</f>
        <v>0</v>
      </c>
    </row>
    <row r="222" spans="1:27" hidden="1" x14ac:dyDescent="0.2">
      <c r="A222" t="s">
        <v>304</v>
      </c>
      <c r="I222">
        <f>SUM(AE212:AE221)</f>
        <v>0</v>
      </c>
      <c r="J222">
        <f>SUM(AF212:AF221)</f>
        <v>0</v>
      </c>
    </row>
    <row r="224" spans="1:27" ht="15" x14ac:dyDescent="0.25">
      <c r="A224" s="44" t="str">
        <f>CONCATENATE("Итого по разделу: ",IF(Source!G173&lt;&gt;"Новый раздел", Source!G173, ""))</f>
        <v>Итого по разделу: ГНБ</v>
      </c>
      <c r="B224" s="44"/>
      <c r="C224" s="44"/>
      <c r="D224" s="44"/>
      <c r="E224" s="44"/>
      <c r="F224" s="44"/>
      <c r="G224" s="44"/>
      <c r="H224" s="42">
        <f>SUM(O21:O223)</f>
        <v>2416670.4700000002</v>
      </c>
      <c r="I224" s="43"/>
      <c r="J224" s="42">
        <f>SUM(P21:P223)</f>
        <v>12036348.219999999</v>
      </c>
      <c r="K224" s="43"/>
    </row>
    <row r="225" spans="1:11" hidden="1" x14ac:dyDescent="0.2">
      <c r="A225" t="s">
        <v>303</v>
      </c>
      <c r="I225">
        <f>SUM(AC21:AC224)</f>
        <v>0</v>
      </c>
      <c r="J225">
        <f>SUM(AD21:AD224)</f>
        <v>0</v>
      </c>
    </row>
    <row r="226" spans="1:11" hidden="1" x14ac:dyDescent="0.2">
      <c r="A226" t="s">
        <v>304</v>
      </c>
      <c r="I226">
        <f>SUM(AE21:AE225)</f>
        <v>0</v>
      </c>
      <c r="J226">
        <f>SUM(AF21:AF225)</f>
        <v>0</v>
      </c>
    </row>
    <row r="227" spans="1:11" ht="14.25" x14ac:dyDescent="0.2">
      <c r="C227" s="45" t="str">
        <f>Source!H202</f>
        <v>Строительные работы</v>
      </c>
      <c r="D227" s="45"/>
      <c r="E227" s="45"/>
      <c r="F227" s="45"/>
      <c r="G227" s="45"/>
      <c r="H227" s="45"/>
      <c r="I227" s="45"/>
      <c r="J227" s="46">
        <f>IF(Source!F202=0, "", Source!F202)</f>
        <v>12021042.99</v>
      </c>
      <c r="K227" s="46"/>
    </row>
    <row r="228" spans="1:11" ht="14.25" x14ac:dyDescent="0.2">
      <c r="C228" s="45" t="str">
        <f>Source!H203</f>
        <v>Временные здания и сооружения 1,5%</v>
      </c>
      <c r="D228" s="45"/>
      <c r="E228" s="45"/>
      <c r="F228" s="45"/>
      <c r="G228" s="45"/>
      <c r="H228" s="45"/>
      <c r="I228" s="45"/>
      <c r="J228" s="46">
        <f>IF(Source!F203=0, "", Source!F203)</f>
        <v>180315.64</v>
      </c>
      <c r="K228" s="46"/>
    </row>
    <row r="229" spans="1:11" ht="14.25" x14ac:dyDescent="0.2">
      <c r="C229" s="45" t="str">
        <f>Source!H204</f>
        <v>Прочие</v>
      </c>
      <c r="D229" s="45"/>
      <c r="E229" s="45"/>
      <c r="F229" s="45"/>
      <c r="G229" s="45"/>
      <c r="H229" s="45"/>
      <c r="I229" s="45"/>
      <c r="J229" s="46">
        <f>IF(Source!F204=0, "", Source!F204)</f>
        <v>15305.23</v>
      </c>
      <c r="K229" s="46"/>
    </row>
    <row r="230" spans="1:11" ht="14.25" x14ac:dyDescent="0.2">
      <c r="C230" s="45" t="s">
        <v>310</v>
      </c>
      <c r="D230" s="45"/>
      <c r="E230" s="45"/>
      <c r="F230" s="45"/>
      <c r="G230" s="45"/>
      <c r="H230" s="45"/>
      <c r="I230" s="45"/>
      <c r="J230" s="46">
        <f>IF(Source!F205=0, "", Source!F205)</f>
        <v>12216663.859999999</v>
      </c>
      <c r="K230" s="46"/>
    </row>
    <row r="231" spans="1:11" ht="14.25" x14ac:dyDescent="0.2">
      <c r="C231" s="45" t="str">
        <f>Source!H206</f>
        <v>НДС-20%</v>
      </c>
      <c r="D231" s="45"/>
      <c r="E231" s="45"/>
      <c r="F231" s="45"/>
      <c r="G231" s="45"/>
      <c r="H231" s="45"/>
      <c r="I231" s="45"/>
      <c r="J231" s="46">
        <f>IF(Source!F206=0, "", Source!F206)</f>
        <v>2443332.77</v>
      </c>
      <c r="K231" s="46"/>
    </row>
    <row r="232" spans="1:11" s="29" customFormat="1" ht="15" x14ac:dyDescent="0.25">
      <c r="C232" s="44" t="str">
        <f>Source!H207</f>
        <v>Всего по смете с НДС</v>
      </c>
      <c r="D232" s="44"/>
      <c r="E232" s="44"/>
      <c r="F232" s="44"/>
      <c r="G232" s="44"/>
      <c r="H232" s="44"/>
      <c r="I232" s="44"/>
      <c r="J232" s="42">
        <f>IF(Source!F207=0, "", Source!F207)</f>
        <v>14659996.630000001</v>
      </c>
      <c r="K232" s="42"/>
    </row>
    <row r="235" spans="1:11" ht="14.25" x14ac:dyDescent="0.2">
      <c r="A235" s="47" t="s">
        <v>306</v>
      </c>
      <c r="B235" s="47"/>
      <c r="C235" s="28" t="str">
        <f>IF(Source!AC12&lt;&gt;"", Source!AC12," ")</f>
        <v>Инженер-сметчик I категории</v>
      </c>
      <c r="D235" s="28"/>
      <c r="E235" s="28"/>
      <c r="F235" s="28"/>
      <c r="G235" s="28"/>
      <c r="H235" s="11" t="str">
        <f>IF(Source!AB12&lt;&gt;"", Source!AB12," ")</f>
        <v>Калинкина А.А.</v>
      </c>
      <c r="I235" s="11"/>
      <c r="J235" s="11"/>
      <c r="K235" s="11"/>
    </row>
    <row r="236" spans="1:11" ht="14.25" x14ac:dyDescent="0.2">
      <c r="A236" s="11"/>
      <c r="B236" s="11"/>
      <c r="C236" s="31" t="s">
        <v>307</v>
      </c>
      <c r="D236" s="31"/>
      <c r="E236" s="31"/>
      <c r="F236" s="31"/>
      <c r="G236" s="31"/>
      <c r="H236" s="11"/>
      <c r="I236" s="11"/>
      <c r="J236" s="11"/>
      <c r="K236" s="11"/>
    </row>
    <row r="237" spans="1:11" ht="14.25" x14ac:dyDescent="0.2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</row>
    <row r="238" spans="1:11" ht="14.25" x14ac:dyDescent="0.2">
      <c r="A238" s="47" t="s">
        <v>308</v>
      </c>
      <c r="B238" s="47"/>
      <c r="C238" s="28" t="str">
        <f>IF(Source!AE12&lt;&gt;"", Source!AE12," ")</f>
        <v xml:space="preserve"> </v>
      </c>
      <c r="D238" s="28"/>
      <c r="E238" s="28"/>
      <c r="F238" s="28"/>
      <c r="G238" s="28"/>
      <c r="H238" s="11" t="str">
        <f>IF(Source!AD12&lt;&gt;"", Source!AD12," ")</f>
        <v xml:space="preserve"> </v>
      </c>
      <c r="I238" s="11"/>
      <c r="J238" s="11"/>
      <c r="K238" s="11"/>
    </row>
    <row r="239" spans="1:11" ht="14.25" x14ac:dyDescent="0.2">
      <c r="A239" s="11"/>
      <c r="B239" s="11"/>
      <c r="C239" s="31" t="s">
        <v>307</v>
      </c>
      <c r="D239" s="31"/>
      <c r="E239" s="31"/>
      <c r="F239" s="31"/>
      <c r="G239" s="31"/>
      <c r="H239" s="11"/>
      <c r="I239" s="11"/>
      <c r="J239" s="11"/>
      <c r="K239" s="11"/>
    </row>
  </sheetData>
  <mergeCells count="89">
    <mergeCell ref="A235:B235"/>
    <mergeCell ref="C236:G236"/>
    <mergeCell ref="A238:B238"/>
    <mergeCell ref="C239:G239"/>
    <mergeCell ref="C231:I231"/>
    <mergeCell ref="J231:K231"/>
    <mergeCell ref="C232:I232"/>
    <mergeCell ref="J232:K232"/>
    <mergeCell ref="C228:I228"/>
    <mergeCell ref="J228:K228"/>
    <mergeCell ref="C229:I229"/>
    <mergeCell ref="J229:K229"/>
    <mergeCell ref="C230:I230"/>
    <mergeCell ref="J230:K230"/>
    <mergeCell ref="A220:G220"/>
    <mergeCell ref="J224:K224"/>
    <mergeCell ref="H224:I224"/>
    <mergeCell ref="A224:G224"/>
    <mergeCell ref="C227:I227"/>
    <mergeCell ref="J227:K227"/>
    <mergeCell ref="J215:K215"/>
    <mergeCell ref="H215:I215"/>
    <mergeCell ref="J218:K218"/>
    <mergeCell ref="H218:I218"/>
    <mergeCell ref="J220:K220"/>
    <mergeCell ref="H220:I220"/>
    <mergeCell ref="A212:K212"/>
    <mergeCell ref="J193:K193"/>
    <mergeCell ref="H193:I193"/>
    <mergeCell ref="A193:G193"/>
    <mergeCell ref="A197:K197"/>
    <mergeCell ref="J204:K204"/>
    <mergeCell ref="H204:I204"/>
    <mergeCell ref="J206:K206"/>
    <mergeCell ref="H206:I206"/>
    <mergeCell ref="J208:K208"/>
    <mergeCell ref="H208:I208"/>
    <mergeCell ref="A208:G208"/>
    <mergeCell ref="J177:K177"/>
    <mergeCell ref="H177:I177"/>
    <mergeCell ref="J182:K182"/>
    <mergeCell ref="H182:I182"/>
    <mergeCell ref="J191:K191"/>
    <mergeCell ref="H191:I191"/>
    <mergeCell ref="J145:K145"/>
    <mergeCell ref="H145:I145"/>
    <mergeCell ref="J154:K154"/>
    <mergeCell ref="H154:I154"/>
    <mergeCell ref="J164:K164"/>
    <mergeCell ref="H164:I164"/>
    <mergeCell ref="J117:K117"/>
    <mergeCell ref="H117:I117"/>
    <mergeCell ref="J127:K127"/>
    <mergeCell ref="H127:I127"/>
    <mergeCell ref="J140:K140"/>
    <mergeCell ref="H140:I140"/>
    <mergeCell ref="J90:K90"/>
    <mergeCell ref="H90:I90"/>
    <mergeCell ref="J103:K103"/>
    <mergeCell ref="H103:I103"/>
    <mergeCell ref="J108:K108"/>
    <mergeCell ref="H108:I108"/>
    <mergeCell ref="J66:K66"/>
    <mergeCell ref="H66:I66"/>
    <mergeCell ref="J71:K71"/>
    <mergeCell ref="H71:I71"/>
    <mergeCell ref="J80:K80"/>
    <mergeCell ref="H80:I80"/>
    <mergeCell ref="J37:K37"/>
    <mergeCell ref="H37:I37"/>
    <mergeCell ref="J43:K43"/>
    <mergeCell ref="H43:I43"/>
    <mergeCell ref="J53:K53"/>
    <mergeCell ref="H53:I53"/>
    <mergeCell ref="A23:K23"/>
    <mergeCell ref="J29:K29"/>
    <mergeCell ref="H29:I29"/>
    <mergeCell ref="J35:K35"/>
    <mergeCell ref="H35:I35"/>
    <mergeCell ref="A17:K17"/>
    <mergeCell ref="A10:K10"/>
    <mergeCell ref="A12:K12"/>
    <mergeCell ref="A13:K13"/>
    <mergeCell ref="A21:K21"/>
    <mergeCell ref="A4:K4"/>
    <mergeCell ref="A5:K5"/>
    <mergeCell ref="A7:K7"/>
    <mergeCell ref="A8:K8"/>
    <mergeCell ref="F16:H16"/>
  </mergeCells>
  <pageMargins left="0.4" right="0.2" top="0.4" bottom="0.4" header="0.2" footer="0.2"/>
  <pageSetup paperSize="9" scale="64" fitToHeight="0" orientation="portrait" r:id="rId1"/>
  <headerFooter>
    <oddHeader>&amp;L&amp;8ООО "Инженерные коммуникации СТОУН"  Доп. раб. место  MCCS-0028578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286"/>
  <sheetViews>
    <sheetView workbookViewId="0">
      <selection activeCell="G13" sqref="G13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28578</v>
      </c>
      <c r="M1">
        <v>10</v>
      </c>
      <c r="N1">
        <v>11</v>
      </c>
      <c r="O1">
        <v>0</v>
      </c>
      <c r="P1">
        <v>0</v>
      </c>
      <c r="Q1">
        <v>3</v>
      </c>
    </row>
    <row r="12" spans="1:133" x14ac:dyDescent="0.2">
      <c r="A12" s="1">
        <v>1</v>
      </c>
      <c r="B12" s="1">
        <v>281</v>
      </c>
      <c r="C12" s="1">
        <v>0</v>
      </c>
      <c r="D12" s="1">
        <f>ROW(A246)</f>
        <v>246</v>
      </c>
      <c r="E12" s="1">
        <v>0</v>
      </c>
      <c r="F12" s="1" t="s">
        <v>4</v>
      </c>
      <c r="G12" s="1" t="s">
        <v>309</v>
      </c>
      <c r="H12" s="1" t="s">
        <v>6</v>
      </c>
      <c r="I12" s="1">
        <v>0</v>
      </c>
      <c r="J12" s="1" t="s">
        <v>7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157</v>
      </c>
      <c r="S12" s="1"/>
      <c r="T12" s="1"/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8</v>
      </c>
      <c r="AC12" s="1" t="s">
        <v>9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10</v>
      </c>
      <c r="AI12" s="1" t="s">
        <v>11</v>
      </c>
      <c r="AJ12" s="1" t="s">
        <v>12</v>
      </c>
      <c r="AK12" s="1"/>
      <c r="AL12" s="1" t="s">
        <v>13</v>
      </c>
      <c r="AM12" s="1" t="s">
        <v>11</v>
      </c>
      <c r="AN12" s="1" t="s">
        <v>14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15</v>
      </c>
      <c r="AY12" s="1" t="s">
        <v>16</v>
      </c>
      <c r="AZ12" s="1" t="s">
        <v>17</v>
      </c>
      <c r="BA12" s="1"/>
      <c r="BB12" s="1"/>
      <c r="BC12" s="1"/>
      <c r="BD12" s="1"/>
      <c r="BE12" s="1"/>
      <c r="BF12" s="1"/>
      <c r="BG12" s="1"/>
      <c r="BH12" s="1" t="s">
        <v>18</v>
      </c>
      <c r="BI12" s="1" t="s">
        <v>19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20</v>
      </c>
      <c r="BZ12" s="1" t="s">
        <v>21</v>
      </c>
      <c r="CA12" s="1" t="s">
        <v>22</v>
      </c>
      <c r="CB12" s="1" t="s">
        <v>22</v>
      </c>
      <c r="CC12" s="1" t="s">
        <v>22</v>
      </c>
      <c r="CD12" s="1" t="s">
        <v>22</v>
      </c>
      <c r="CE12" s="1" t="s">
        <v>23</v>
      </c>
      <c r="CF12" s="1">
        <v>0</v>
      </c>
      <c r="CG12" s="1">
        <v>0</v>
      </c>
      <c r="CH12" s="1">
        <v>8</v>
      </c>
      <c r="CI12" s="1" t="s">
        <v>6</v>
      </c>
      <c r="CJ12" s="1" t="s">
        <v>6</v>
      </c>
      <c r="CK12" s="1">
        <v>53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B246</f>
        <v>281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3 проект Строительство РП-1, 2КЛ-10кВ от ПС "Павелецкая" до_(Копия)</v>
      </c>
      <c r="G18" s="2" t="str">
        <f t="shared" si="0"/>
        <v xml:space="preserve"> 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  <c r="H18" s="2"/>
      <c r="I18" s="2"/>
      <c r="J18" s="2"/>
      <c r="K18" s="2"/>
      <c r="L18" s="2"/>
      <c r="M18" s="2"/>
      <c r="N18" s="2"/>
      <c r="O18" s="2">
        <f t="shared" ref="O18:AT18" si="1">O246</f>
        <v>10423686.65</v>
      </c>
      <c r="P18" s="2">
        <f t="shared" si="1"/>
        <v>6200815.9500000002</v>
      </c>
      <c r="Q18" s="2">
        <f t="shared" si="1"/>
        <v>3993667.43</v>
      </c>
      <c r="R18" s="2">
        <f t="shared" si="1"/>
        <v>754298.48</v>
      </c>
      <c r="S18" s="2">
        <f t="shared" si="1"/>
        <v>229203.27</v>
      </c>
      <c r="T18" s="2">
        <f t="shared" si="1"/>
        <v>0</v>
      </c>
      <c r="U18" s="2">
        <f t="shared" si="1"/>
        <v>804.26659631999985</v>
      </c>
      <c r="V18" s="2">
        <f t="shared" si="1"/>
        <v>0</v>
      </c>
      <c r="W18" s="2">
        <f t="shared" si="1"/>
        <v>0</v>
      </c>
      <c r="X18" s="2">
        <f t="shared" si="1"/>
        <v>264365.76</v>
      </c>
      <c r="Y18" s="2">
        <f t="shared" si="1"/>
        <v>164047.19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12036348.220000001</v>
      </c>
      <c r="AS18" s="2">
        <f t="shared" si="1"/>
        <v>12018008.529999999</v>
      </c>
      <c r="AT18" s="2">
        <f t="shared" si="1"/>
        <v>3034.46</v>
      </c>
      <c r="AU18" s="2">
        <f t="shared" ref="AU18:BZ18" si="2">AU246</f>
        <v>15305.23</v>
      </c>
      <c r="AV18" s="2">
        <f t="shared" si="2"/>
        <v>6200815.9500000002</v>
      </c>
      <c r="AW18" s="2">
        <f t="shared" si="2"/>
        <v>6200815.9500000002</v>
      </c>
      <c r="AX18" s="2">
        <f t="shared" si="2"/>
        <v>0</v>
      </c>
      <c r="AY18" s="2">
        <f t="shared" si="2"/>
        <v>6200815.9500000002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CA246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DG246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EM246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FS246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ROW(A209)</f>
        <v>209</v>
      </c>
      <c r="E20" s="1"/>
      <c r="F20" s="1">
        <v>1</v>
      </c>
      <c r="G20" s="1" t="s">
        <v>25</v>
      </c>
      <c r="H20" s="1" t="s">
        <v>6</v>
      </c>
      <c r="I20" s="1">
        <v>0</v>
      </c>
      <c r="J20" s="1" t="s">
        <v>7</v>
      </c>
      <c r="K20" s="1">
        <v>-1</v>
      </c>
      <c r="L20" s="1" t="s">
        <v>6</v>
      </c>
      <c r="M20" s="1"/>
      <c r="N20" s="1"/>
      <c r="O20" s="1"/>
      <c r="P20" s="1"/>
      <c r="Q20" s="1"/>
      <c r="R20" s="1"/>
      <c r="S20" s="1"/>
      <c r="T20" s="1"/>
      <c r="U20" s="1" t="s">
        <v>6</v>
      </c>
      <c r="V20" s="1">
        <v>0</v>
      </c>
      <c r="W20" s="1"/>
      <c r="X20" s="1"/>
      <c r="Y20" s="1"/>
      <c r="Z20" s="1"/>
      <c r="AA20" s="1"/>
      <c r="AB20" s="1" t="s">
        <v>6</v>
      </c>
      <c r="AC20" s="1" t="s">
        <v>6</v>
      </c>
      <c r="AD20" s="1" t="s">
        <v>6</v>
      </c>
      <c r="AE20" s="1" t="s">
        <v>6</v>
      </c>
      <c r="AF20" s="1" t="s">
        <v>6</v>
      </c>
      <c r="AG20" s="1" t="s">
        <v>6</v>
      </c>
      <c r="AH20" s="1"/>
      <c r="AI20" s="1"/>
      <c r="AJ20" s="1"/>
      <c r="AK20" s="1"/>
      <c r="AL20" s="1"/>
      <c r="AM20" s="1"/>
      <c r="AN20" s="1"/>
      <c r="AO20" s="1"/>
      <c r="AP20" s="1" t="s">
        <v>6</v>
      </c>
      <c r="AQ20" s="1" t="s">
        <v>6</v>
      </c>
      <c r="AR20" s="1" t="s">
        <v>6</v>
      </c>
      <c r="AS20" s="1"/>
      <c r="AT20" s="1"/>
      <c r="AU20" s="1"/>
      <c r="AV20" s="1"/>
      <c r="AW20" s="1"/>
      <c r="AX20" s="1"/>
      <c r="AY20" s="1"/>
      <c r="AZ20" s="1" t="s">
        <v>17</v>
      </c>
      <c r="BA20" s="1"/>
      <c r="BB20" s="1" t="s">
        <v>6</v>
      </c>
      <c r="BC20" s="1" t="s">
        <v>6</v>
      </c>
      <c r="BD20" s="1" t="s">
        <v>6</v>
      </c>
      <c r="BE20" s="1" t="s">
        <v>6</v>
      </c>
      <c r="BF20" s="1" t="s">
        <v>6</v>
      </c>
      <c r="BG20" s="1" t="s">
        <v>6</v>
      </c>
      <c r="BH20" s="1" t="s">
        <v>6</v>
      </c>
      <c r="BI20" s="1" t="s">
        <v>6</v>
      </c>
      <c r="BJ20" s="1" t="s">
        <v>6</v>
      </c>
      <c r="BK20" s="1" t="s">
        <v>6</v>
      </c>
      <c r="BL20" s="1" t="s">
        <v>6</v>
      </c>
      <c r="BM20" s="1" t="s">
        <v>6</v>
      </c>
      <c r="BN20" s="1" t="s">
        <v>6</v>
      </c>
      <c r="BO20" s="1" t="s">
        <v>6</v>
      </c>
      <c r="BP20" s="1" t="s">
        <v>6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7</v>
      </c>
      <c r="CJ20" s="1" t="s">
        <v>6</v>
      </c>
      <c r="CK20" t="s">
        <v>6</v>
      </c>
      <c r="CL20" t="s">
        <v>6</v>
      </c>
      <c r="CM20" t="s">
        <v>6</v>
      </c>
      <c r="CN20" t="s">
        <v>6</v>
      </c>
      <c r="CO20" t="s">
        <v>6</v>
      </c>
      <c r="CP20" t="s">
        <v>6</v>
      </c>
    </row>
    <row r="22" spans="1:245" x14ac:dyDescent="0.2">
      <c r="A22" s="2">
        <v>52</v>
      </c>
      <c r="B22" s="2">
        <f t="shared" ref="B22:G22" si="7">B209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>
        <f t="shared" si="7"/>
        <v>1</v>
      </c>
      <c r="G22" s="2" t="str">
        <f t="shared" si="7"/>
        <v>Строительство закрытых переходов при прокладке КЛ-20кВ</v>
      </c>
      <c r="H22" s="2"/>
      <c r="I22" s="2"/>
      <c r="J22" s="2"/>
      <c r="K22" s="2"/>
      <c r="L22" s="2"/>
      <c r="M22" s="2"/>
      <c r="N22" s="2"/>
      <c r="O22" s="2">
        <f t="shared" ref="O22:AT22" si="8">O209</f>
        <v>10423686.65</v>
      </c>
      <c r="P22" s="2">
        <f t="shared" si="8"/>
        <v>6200815.9500000002</v>
      </c>
      <c r="Q22" s="2">
        <f t="shared" si="8"/>
        <v>3993667.43</v>
      </c>
      <c r="R22" s="2">
        <f t="shared" si="8"/>
        <v>754298.48</v>
      </c>
      <c r="S22" s="2">
        <f t="shared" si="8"/>
        <v>229203.27</v>
      </c>
      <c r="T22" s="2">
        <f t="shared" si="8"/>
        <v>0</v>
      </c>
      <c r="U22" s="2">
        <f t="shared" si="8"/>
        <v>804.26659631999985</v>
      </c>
      <c r="V22" s="2">
        <f t="shared" si="8"/>
        <v>0</v>
      </c>
      <c r="W22" s="2">
        <f t="shared" si="8"/>
        <v>0</v>
      </c>
      <c r="X22" s="2">
        <f t="shared" si="8"/>
        <v>264365.76</v>
      </c>
      <c r="Y22" s="2">
        <f t="shared" si="8"/>
        <v>164047.19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12036348.220000001</v>
      </c>
      <c r="AS22" s="2">
        <f t="shared" si="8"/>
        <v>12018008.529999999</v>
      </c>
      <c r="AT22" s="2">
        <f t="shared" si="8"/>
        <v>3034.46</v>
      </c>
      <c r="AU22" s="2">
        <f t="shared" ref="AU22:BZ22" si="9">AU209</f>
        <v>15305.23</v>
      </c>
      <c r="AV22" s="2">
        <f t="shared" si="9"/>
        <v>6200815.9500000002</v>
      </c>
      <c r="AW22" s="2">
        <f t="shared" si="9"/>
        <v>6200815.9500000002</v>
      </c>
      <c r="AX22" s="2">
        <f t="shared" si="9"/>
        <v>0</v>
      </c>
      <c r="AY22" s="2">
        <f t="shared" si="9"/>
        <v>6200815.9500000002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CA209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DG209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EM209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FS209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ROW(A173)</f>
        <v>173</v>
      </c>
      <c r="E24" s="1"/>
      <c r="F24" s="1" t="s">
        <v>26</v>
      </c>
      <c r="G24" s="1" t="s">
        <v>27</v>
      </c>
      <c r="H24" s="1" t="s">
        <v>6</v>
      </c>
      <c r="I24" s="1">
        <v>0</v>
      </c>
      <c r="J24" s="1"/>
      <c r="K24" s="1">
        <v>0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6</v>
      </c>
      <c r="V24" s="1">
        <v>0</v>
      </c>
      <c r="W24" s="1"/>
      <c r="X24" s="1"/>
      <c r="Y24" s="1"/>
      <c r="Z24" s="1"/>
      <c r="AA24" s="1"/>
      <c r="AB24" s="1" t="s">
        <v>6</v>
      </c>
      <c r="AC24" s="1" t="s">
        <v>6</v>
      </c>
      <c r="AD24" s="1" t="s">
        <v>6</v>
      </c>
      <c r="AE24" s="1" t="s">
        <v>6</v>
      </c>
      <c r="AF24" s="1" t="s">
        <v>6</v>
      </c>
      <c r="AG24" s="1" t="s">
        <v>6</v>
      </c>
      <c r="AH24" s="1"/>
      <c r="AI24" s="1"/>
      <c r="AJ24" s="1"/>
      <c r="AK24" s="1"/>
      <c r="AL24" s="1"/>
      <c r="AM24" s="1"/>
      <c r="AN24" s="1"/>
      <c r="AO24" s="1"/>
      <c r="AP24" s="1" t="s">
        <v>6</v>
      </c>
      <c r="AQ24" s="1" t="s">
        <v>6</v>
      </c>
      <c r="AR24" s="1" t="s">
        <v>6</v>
      </c>
      <c r="AS24" s="1"/>
      <c r="AT24" s="1"/>
      <c r="AU24" s="1"/>
      <c r="AV24" s="1"/>
      <c r="AW24" s="1"/>
      <c r="AX24" s="1"/>
      <c r="AY24" s="1"/>
      <c r="AZ24" s="1" t="s">
        <v>6</v>
      </c>
      <c r="BA24" s="1"/>
      <c r="BB24" s="1" t="s">
        <v>6</v>
      </c>
      <c r="BC24" s="1" t="s">
        <v>6</v>
      </c>
      <c r="BD24" s="1" t="s">
        <v>6</v>
      </c>
      <c r="BE24" s="1" t="s">
        <v>6</v>
      </c>
      <c r="BF24" s="1" t="s">
        <v>6</v>
      </c>
      <c r="BG24" s="1" t="s">
        <v>6</v>
      </c>
      <c r="BH24" s="1" t="s">
        <v>6</v>
      </c>
      <c r="BI24" s="1" t="s">
        <v>6</v>
      </c>
      <c r="BJ24" s="1" t="s">
        <v>6</v>
      </c>
      <c r="BK24" s="1" t="s">
        <v>6</v>
      </c>
      <c r="BL24" s="1" t="s">
        <v>6</v>
      </c>
      <c r="BM24" s="1" t="s">
        <v>6</v>
      </c>
      <c r="BN24" s="1" t="s">
        <v>6</v>
      </c>
      <c r="BO24" s="1" t="s">
        <v>6</v>
      </c>
      <c r="BP24" s="1" t="s">
        <v>6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B173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ГНБ</v>
      </c>
      <c r="H26" s="2"/>
      <c r="I26" s="2"/>
      <c r="J26" s="2"/>
      <c r="K26" s="2"/>
      <c r="L26" s="2"/>
      <c r="M26" s="2"/>
      <c r="N26" s="2"/>
      <c r="O26" s="2">
        <f t="shared" ref="O26:AT26" si="15">O173</f>
        <v>10423686.65</v>
      </c>
      <c r="P26" s="2">
        <f t="shared" si="15"/>
        <v>6200815.9500000002</v>
      </c>
      <c r="Q26" s="2">
        <f t="shared" si="15"/>
        <v>3993667.43</v>
      </c>
      <c r="R26" s="2">
        <f t="shared" si="15"/>
        <v>754298.48</v>
      </c>
      <c r="S26" s="2">
        <f t="shared" si="15"/>
        <v>229203.27</v>
      </c>
      <c r="T26" s="2">
        <f t="shared" si="15"/>
        <v>0</v>
      </c>
      <c r="U26" s="2">
        <f t="shared" si="15"/>
        <v>804.26659631999985</v>
      </c>
      <c r="V26" s="2">
        <f t="shared" si="15"/>
        <v>0</v>
      </c>
      <c r="W26" s="2">
        <f t="shared" si="15"/>
        <v>0</v>
      </c>
      <c r="X26" s="2">
        <f t="shared" si="15"/>
        <v>264365.76</v>
      </c>
      <c r="Y26" s="2">
        <f t="shared" si="15"/>
        <v>164047.19</v>
      </c>
      <c r="Z26" s="2">
        <f t="shared" si="15"/>
        <v>0</v>
      </c>
      <c r="AA26" s="2">
        <f t="shared" si="15"/>
        <v>0</v>
      </c>
      <c r="AB26" s="2">
        <f t="shared" si="15"/>
        <v>0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0</v>
      </c>
      <c r="AG26" s="2">
        <f t="shared" si="15"/>
        <v>0</v>
      </c>
      <c r="AH26" s="2">
        <f t="shared" si="15"/>
        <v>0</v>
      </c>
      <c r="AI26" s="2">
        <f t="shared" si="15"/>
        <v>0</v>
      </c>
      <c r="AJ26" s="2">
        <f t="shared" si="15"/>
        <v>0</v>
      </c>
      <c r="AK26" s="2">
        <f t="shared" si="15"/>
        <v>0</v>
      </c>
      <c r="AL26" s="2">
        <f t="shared" si="15"/>
        <v>0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12036348.220000001</v>
      </c>
      <c r="AS26" s="2">
        <f t="shared" si="15"/>
        <v>12018008.529999999</v>
      </c>
      <c r="AT26" s="2">
        <f t="shared" si="15"/>
        <v>3034.46</v>
      </c>
      <c r="AU26" s="2">
        <f t="shared" ref="AU26:BZ26" si="16">AU173</f>
        <v>15305.23</v>
      </c>
      <c r="AV26" s="2">
        <f t="shared" si="16"/>
        <v>6200815.9500000002</v>
      </c>
      <c r="AW26" s="2">
        <f t="shared" si="16"/>
        <v>6200815.9500000002</v>
      </c>
      <c r="AX26" s="2">
        <f t="shared" si="16"/>
        <v>0</v>
      </c>
      <c r="AY26" s="2">
        <f t="shared" si="16"/>
        <v>6200815.9500000002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CA173</f>
        <v>0</v>
      </c>
      <c r="CB26" s="2">
        <f t="shared" si="17"/>
        <v>0</v>
      </c>
      <c r="CC26" s="2">
        <f t="shared" si="17"/>
        <v>0</v>
      </c>
      <c r="CD26" s="2">
        <f t="shared" si="17"/>
        <v>0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DG173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EM173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FS173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 s="1">
        <v>5</v>
      </c>
      <c r="B28" s="1">
        <v>1</v>
      </c>
      <c r="C28" s="1"/>
      <c r="D28" s="1">
        <f>ROW(A69)</f>
        <v>69</v>
      </c>
      <c r="E28" s="1"/>
      <c r="F28" s="1" t="s">
        <v>28</v>
      </c>
      <c r="G28" s="1" t="s">
        <v>29</v>
      </c>
      <c r="H28" s="1" t="s">
        <v>6</v>
      </c>
      <c r="I28" s="1">
        <v>0</v>
      </c>
      <c r="J28" s="1"/>
      <c r="K28" s="1">
        <v>0</v>
      </c>
      <c r="L28" s="1"/>
      <c r="M28" s="1"/>
      <c r="N28" s="1"/>
      <c r="O28" s="1"/>
      <c r="P28" s="1"/>
      <c r="Q28" s="1"/>
      <c r="R28" s="1"/>
      <c r="S28" s="1"/>
      <c r="T28" s="1"/>
      <c r="U28" s="1" t="s">
        <v>6</v>
      </c>
      <c r="V28" s="1">
        <v>0</v>
      </c>
      <c r="W28" s="1"/>
      <c r="X28" s="1"/>
      <c r="Y28" s="1"/>
      <c r="Z28" s="1"/>
      <c r="AA28" s="1"/>
      <c r="AB28" s="1" t="s">
        <v>6</v>
      </c>
      <c r="AC28" s="1" t="s">
        <v>6</v>
      </c>
      <c r="AD28" s="1" t="s">
        <v>6</v>
      </c>
      <c r="AE28" s="1" t="s">
        <v>6</v>
      </c>
      <c r="AF28" s="1" t="s">
        <v>6</v>
      </c>
      <c r="AG28" s="1" t="s">
        <v>6</v>
      </c>
      <c r="AH28" s="1"/>
      <c r="AI28" s="1"/>
      <c r="AJ28" s="1"/>
      <c r="AK28" s="1"/>
      <c r="AL28" s="1"/>
      <c r="AM28" s="1"/>
      <c r="AN28" s="1"/>
      <c r="AO28" s="1"/>
      <c r="AP28" s="1" t="s">
        <v>6</v>
      </c>
      <c r="AQ28" s="1" t="s">
        <v>6</v>
      </c>
      <c r="AR28" s="1" t="s">
        <v>6</v>
      </c>
      <c r="AS28" s="1"/>
      <c r="AT28" s="1"/>
      <c r="AU28" s="1"/>
      <c r="AV28" s="1"/>
      <c r="AW28" s="1"/>
      <c r="AX28" s="1"/>
      <c r="AY28" s="1"/>
      <c r="AZ28" s="1" t="s">
        <v>6</v>
      </c>
      <c r="BA28" s="1"/>
      <c r="BB28" s="1" t="s">
        <v>6</v>
      </c>
      <c r="BC28" s="1" t="s">
        <v>6</v>
      </c>
      <c r="BD28" s="1" t="s">
        <v>6</v>
      </c>
      <c r="BE28" s="1" t="s">
        <v>6</v>
      </c>
      <c r="BF28" s="1" t="s">
        <v>6</v>
      </c>
      <c r="BG28" s="1" t="s">
        <v>6</v>
      </c>
      <c r="BH28" s="1" t="s">
        <v>6</v>
      </c>
      <c r="BI28" s="1" t="s">
        <v>6</v>
      </c>
      <c r="BJ28" s="1" t="s">
        <v>6</v>
      </c>
      <c r="BK28" s="1" t="s">
        <v>6</v>
      </c>
      <c r="BL28" s="1" t="s">
        <v>6</v>
      </c>
      <c r="BM28" s="1" t="s">
        <v>6</v>
      </c>
      <c r="BN28" s="1" t="s">
        <v>6</v>
      </c>
      <c r="BO28" s="1" t="s">
        <v>6</v>
      </c>
      <c r="BP28" s="1" t="s">
        <v>6</v>
      </c>
      <c r="BQ28" s="1"/>
      <c r="BR28" s="1"/>
      <c r="BS28" s="1"/>
      <c r="BT28" s="1"/>
      <c r="BU28" s="1"/>
      <c r="BV28" s="1"/>
      <c r="BW28" s="1"/>
      <c r="BX28" s="1">
        <v>0</v>
      </c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>
        <v>0</v>
      </c>
    </row>
    <row r="30" spans="1:245" x14ac:dyDescent="0.2">
      <c r="A30" s="2">
        <v>52</v>
      </c>
      <c r="B30" s="2">
        <f t="shared" ref="B30:G30" si="21">B69</f>
        <v>1</v>
      </c>
      <c r="C30" s="2">
        <f t="shared" si="21"/>
        <v>5</v>
      </c>
      <c r="D30" s="2">
        <f t="shared" si="21"/>
        <v>28</v>
      </c>
      <c r="E30" s="2">
        <f t="shared" si="21"/>
        <v>0</v>
      </c>
      <c r="F30" s="2" t="str">
        <f t="shared" si="21"/>
        <v>Новый подраздел</v>
      </c>
      <c r="G30" s="2" t="str">
        <f t="shared" si="21"/>
        <v>Строительные работы</v>
      </c>
      <c r="H30" s="2"/>
      <c r="I30" s="2"/>
      <c r="J30" s="2"/>
      <c r="K30" s="2"/>
      <c r="L30" s="2"/>
      <c r="M30" s="2"/>
      <c r="N30" s="2"/>
      <c r="O30" s="2">
        <f t="shared" ref="O30:AT30" si="22">O69</f>
        <v>10405153.619999999</v>
      </c>
      <c r="P30" s="2">
        <f t="shared" si="22"/>
        <v>6198266.6200000001</v>
      </c>
      <c r="Q30" s="2">
        <f t="shared" si="22"/>
        <v>3978362.2</v>
      </c>
      <c r="R30" s="2">
        <f t="shared" si="22"/>
        <v>754298.48</v>
      </c>
      <c r="S30" s="2">
        <f t="shared" si="22"/>
        <v>228524.79999999999</v>
      </c>
      <c r="T30" s="2">
        <f t="shared" si="22"/>
        <v>0</v>
      </c>
      <c r="U30" s="2">
        <f t="shared" si="22"/>
        <v>801.75379631999988</v>
      </c>
      <c r="V30" s="2">
        <f t="shared" si="22"/>
        <v>0</v>
      </c>
      <c r="W30" s="2">
        <f t="shared" si="22"/>
        <v>0</v>
      </c>
      <c r="X30" s="2">
        <f t="shared" si="22"/>
        <v>263755.14</v>
      </c>
      <c r="Y30" s="2">
        <f t="shared" si="22"/>
        <v>163755.45000000001</v>
      </c>
      <c r="Z30" s="2">
        <f t="shared" si="22"/>
        <v>0</v>
      </c>
      <c r="AA30" s="2">
        <f t="shared" si="22"/>
        <v>0</v>
      </c>
      <c r="AB30" s="2">
        <f t="shared" si="22"/>
        <v>10405153.619999999</v>
      </c>
      <c r="AC30" s="2">
        <f t="shared" si="22"/>
        <v>6198266.6200000001</v>
      </c>
      <c r="AD30" s="2">
        <f t="shared" si="22"/>
        <v>3978362.2</v>
      </c>
      <c r="AE30" s="2">
        <f t="shared" si="22"/>
        <v>754298.48</v>
      </c>
      <c r="AF30" s="2">
        <f t="shared" si="22"/>
        <v>228524.79999999999</v>
      </c>
      <c r="AG30" s="2">
        <f t="shared" si="22"/>
        <v>0</v>
      </c>
      <c r="AH30" s="2">
        <f t="shared" si="22"/>
        <v>801.75379631999988</v>
      </c>
      <c r="AI30" s="2">
        <f t="shared" si="22"/>
        <v>0</v>
      </c>
      <c r="AJ30" s="2">
        <f t="shared" si="22"/>
        <v>0</v>
      </c>
      <c r="AK30" s="2">
        <f t="shared" si="22"/>
        <v>263755.14</v>
      </c>
      <c r="AL30" s="2">
        <f t="shared" si="22"/>
        <v>163755.45000000001</v>
      </c>
      <c r="AM30" s="2">
        <f t="shared" si="22"/>
        <v>0</v>
      </c>
      <c r="AN30" s="2">
        <f t="shared" si="22"/>
        <v>0</v>
      </c>
      <c r="AO30" s="2">
        <f t="shared" si="22"/>
        <v>0</v>
      </c>
      <c r="AP30" s="2">
        <f t="shared" si="22"/>
        <v>0</v>
      </c>
      <c r="AQ30" s="2">
        <f t="shared" si="22"/>
        <v>0</v>
      </c>
      <c r="AR30" s="2">
        <f t="shared" si="22"/>
        <v>12016912.83</v>
      </c>
      <c r="AS30" s="2">
        <f t="shared" si="22"/>
        <v>12016912.83</v>
      </c>
      <c r="AT30" s="2">
        <f t="shared" si="22"/>
        <v>0</v>
      </c>
      <c r="AU30" s="2">
        <f t="shared" ref="AU30:BZ30" si="23">AU69</f>
        <v>0</v>
      </c>
      <c r="AV30" s="2">
        <f t="shared" si="23"/>
        <v>6198266.6200000001</v>
      </c>
      <c r="AW30" s="2">
        <f t="shared" si="23"/>
        <v>6198266.6200000001</v>
      </c>
      <c r="AX30" s="2">
        <f t="shared" si="23"/>
        <v>0</v>
      </c>
      <c r="AY30" s="2">
        <f t="shared" si="23"/>
        <v>6198266.6200000001</v>
      </c>
      <c r="AZ30" s="2">
        <f t="shared" si="23"/>
        <v>0</v>
      </c>
      <c r="BA30" s="2">
        <f t="shared" si="23"/>
        <v>0</v>
      </c>
      <c r="BB30" s="2">
        <f t="shared" si="23"/>
        <v>0</v>
      </c>
      <c r="BC30" s="2">
        <f t="shared" si="23"/>
        <v>0</v>
      </c>
      <c r="BD30" s="2">
        <f t="shared" si="23"/>
        <v>0</v>
      </c>
      <c r="BE30" s="2">
        <f t="shared" si="23"/>
        <v>0</v>
      </c>
      <c r="BF30" s="2">
        <f t="shared" si="23"/>
        <v>0</v>
      </c>
      <c r="BG30" s="2">
        <f t="shared" si="23"/>
        <v>0</v>
      </c>
      <c r="BH30" s="2">
        <f t="shared" si="23"/>
        <v>0</v>
      </c>
      <c r="BI30" s="2">
        <f t="shared" si="23"/>
        <v>0</v>
      </c>
      <c r="BJ30" s="2">
        <f t="shared" si="23"/>
        <v>0</v>
      </c>
      <c r="BK30" s="2">
        <f t="shared" si="23"/>
        <v>0</v>
      </c>
      <c r="BL30" s="2">
        <f t="shared" si="23"/>
        <v>0</v>
      </c>
      <c r="BM30" s="2">
        <f t="shared" si="23"/>
        <v>0</v>
      </c>
      <c r="BN30" s="2">
        <f t="shared" si="23"/>
        <v>0</v>
      </c>
      <c r="BO30" s="2">
        <f t="shared" si="23"/>
        <v>0</v>
      </c>
      <c r="BP30" s="2">
        <f t="shared" si="23"/>
        <v>0</v>
      </c>
      <c r="BQ30" s="2">
        <f t="shared" si="23"/>
        <v>0</v>
      </c>
      <c r="BR30" s="2">
        <f t="shared" si="23"/>
        <v>0</v>
      </c>
      <c r="BS30" s="2">
        <f t="shared" si="23"/>
        <v>0</v>
      </c>
      <c r="BT30" s="2">
        <f t="shared" si="23"/>
        <v>0</v>
      </c>
      <c r="BU30" s="2">
        <f t="shared" si="23"/>
        <v>0</v>
      </c>
      <c r="BV30" s="2">
        <f t="shared" si="23"/>
        <v>0</v>
      </c>
      <c r="BW30" s="2">
        <f t="shared" si="23"/>
        <v>0</v>
      </c>
      <c r="BX30" s="2">
        <f t="shared" si="23"/>
        <v>0</v>
      </c>
      <c r="BY30" s="2">
        <f t="shared" si="23"/>
        <v>0</v>
      </c>
      <c r="BZ30" s="2">
        <f t="shared" si="23"/>
        <v>0</v>
      </c>
      <c r="CA30" s="2">
        <f t="shared" ref="CA30:DF30" si="24">CA69</f>
        <v>12016912.83</v>
      </c>
      <c r="CB30" s="2">
        <f t="shared" si="24"/>
        <v>12016912.83</v>
      </c>
      <c r="CC30" s="2">
        <f t="shared" si="24"/>
        <v>0</v>
      </c>
      <c r="CD30" s="2">
        <f t="shared" si="24"/>
        <v>0</v>
      </c>
      <c r="CE30" s="2">
        <f t="shared" si="24"/>
        <v>6198266.6200000001</v>
      </c>
      <c r="CF30" s="2">
        <f t="shared" si="24"/>
        <v>6198266.6200000001</v>
      </c>
      <c r="CG30" s="2">
        <f t="shared" si="24"/>
        <v>0</v>
      </c>
      <c r="CH30" s="2">
        <f t="shared" si="24"/>
        <v>6198266.6200000001</v>
      </c>
      <c r="CI30" s="2">
        <f t="shared" si="24"/>
        <v>0</v>
      </c>
      <c r="CJ30" s="2">
        <f t="shared" si="24"/>
        <v>0</v>
      </c>
      <c r="CK30" s="2">
        <f t="shared" si="24"/>
        <v>0</v>
      </c>
      <c r="CL30" s="2">
        <f t="shared" si="24"/>
        <v>0</v>
      </c>
      <c r="CM30" s="2">
        <f t="shared" si="24"/>
        <v>0</v>
      </c>
      <c r="CN30" s="2">
        <f t="shared" si="24"/>
        <v>0</v>
      </c>
      <c r="CO30" s="2">
        <f t="shared" si="24"/>
        <v>0</v>
      </c>
      <c r="CP30" s="2">
        <f t="shared" si="24"/>
        <v>0</v>
      </c>
      <c r="CQ30" s="2">
        <f t="shared" si="24"/>
        <v>0</v>
      </c>
      <c r="CR30" s="2">
        <f t="shared" si="24"/>
        <v>0</v>
      </c>
      <c r="CS30" s="2">
        <f t="shared" si="24"/>
        <v>0</v>
      </c>
      <c r="CT30" s="2">
        <f t="shared" si="24"/>
        <v>0</v>
      </c>
      <c r="CU30" s="2">
        <f t="shared" si="24"/>
        <v>0</v>
      </c>
      <c r="CV30" s="2">
        <f t="shared" si="24"/>
        <v>0</v>
      </c>
      <c r="CW30" s="2">
        <f t="shared" si="24"/>
        <v>0</v>
      </c>
      <c r="CX30" s="2">
        <f t="shared" si="24"/>
        <v>0</v>
      </c>
      <c r="CY30" s="2">
        <f t="shared" si="24"/>
        <v>0</v>
      </c>
      <c r="CZ30" s="2">
        <f t="shared" si="24"/>
        <v>0</v>
      </c>
      <c r="DA30" s="2">
        <f t="shared" si="24"/>
        <v>0</v>
      </c>
      <c r="DB30" s="2">
        <f t="shared" si="24"/>
        <v>0</v>
      </c>
      <c r="DC30" s="2">
        <f t="shared" si="24"/>
        <v>0</v>
      </c>
      <c r="DD30" s="2">
        <f t="shared" si="24"/>
        <v>0</v>
      </c>
      <c r="DE30" s="2">
        <f t="shared" si="24"/>
        <v>0</v>
      </c>
      <c r="DF30" s="2">
        <f t="shared" si="24"/>
        <v>0</v>
      </c>
      <c r="DG30" s="3">
        <f t="shared" ref="DG30:EL30" si="25">DG69</f>
        <v>0</v>
      </c>
      <c r="DH30" s="3">
        <f t="shared" si="25"/>
        <v>0</v>
      </c>
      <c r="DI30" s="3">
        <f t="shared" si="25"/>
        <v>0</v>
      </c>
      <c r="DJ30" s="3">
        <f t="shared" si="25"/>
        <v>0</v>
      </c>
      <c r="DK30" s="3">
        <f t="shared" si="25"/>
        <v>0</v>
      </c>
      <c r="DL30" s="3">
        <f t="shared" si="25"/>
        <v>0</v>
      </c>
      <c r="DM30" s="3">
        <f t="shared" si="25"/>
        <v>0</v>
      </c>
      <c r="DN30" s="3">
        <f t="shared" si="25"/>
        <v>0</v>
      </c>
      <c r="DO30" s="3">
        <f t="shared" si="25"/>
        <v>0</v>
      </c>
      <c r="DP30" s="3">
        <f t="shared" si="25"/>
        <v>0</v>
      </c>
      <c r="DQ30" s="3">
        <f t="shared" si="25"/>
        <v>0</v>
      </c>
      <c r="DR30" s="3">
        <f t="shared" si="25"/>
        <v>0</v>
      </c>
      <c r="DS30" s="3">
        <f t="shared" si="25"/>
        <v>0</v>
      </c>
      <c r="DT30" s="3">
        <f t="shared" si="25"/>
        <v>0</v>
      </c>
      <c r="DU30" s="3">
        <f t="shared" si="25"/>
        <v>0</v>
      </c>
      <c r="DV30" s="3">
        <f t="shared" si="25"/>
        <v>0</v>
      </c>
      <c r="DW30" s="3">
        <f t="shared" si="25"/>
        <v>0</v>
      </c>
      <c r="DX30" s="3">
        <f t="shared" si="25"/>
        <v>0</v>
      </c>
      <c r="DY30" s="3">
        <f t="shared" si="25"/>
        <v>0</v>
      </c>
      <c r="DZ30" s="3">
        <f t="shared" si="25"/>
        <v>0</v>
      </c>
      <c r="EA30" s="3">
        <f t="shared" si="25"/>
        <v>0</v>
      </c>
      <c r="EB30" s="3">
        <f t="shared" si="25"/>
        <v>0</v>
      </c>
      <c r="EC30" s="3">
        <f t="shared" si="25"/>
        <v>0</v>
      </c>
      <c r="ED30" s="3">
        <f t="shared" si="25"/>
        <v>0</v>
      </c>
      <c r="EE30" s="3">
        <f t="shared" si="25"/>
        <v>0</v>
      </c>
      <c r="EF30" s="3">
        <f t="shared" si="25"/>
        <v>0</v>
      </c>
      <c r="EG30" s="3">
        <f t="shared" si="25"/>
        <v>0</v>
      </c>
      <c r="EH30" s="3">
        <f t="shared" si="25"/>
        <v>0</v>
      </c>
      <c r="EI30" s="3">
        <f t="shared" si="25"/>
        <v>0</v>
      </c>
      <c r="EJ30" s="3">
        <f t="shared" si="25"/>
        <v>0</v>
      </c>
      <c r="EK30" s="3">
        <f t="shared" si="25"/>
        <v>0</v>
      </c>
      <c r="EL30" s="3">
        <f t="shared" si="25"/>
        <v>0</v>
      </c>
      <c r="EM30" s="3">
        <f t="shared" ref="EM30:FR30" si="26">EM69</f>
        <v>0</v>
      </c>
      <c r="EN30" s="3">
        <f t="shared" si="26"/>
        <v>0</v>
      </c>
      <c r="EO30" s="3">
        <f t="shared" si="26"/>
        <v>0</v>
      </c>
      <c r="EP30" s="3">
        <f t="shared" si="26"/>
        <v>0</v>
      </c>
      <c r="EQ30" s="3">
        <f t="shared" si="26"/>
        <v>0</v>
      </c>
      <c r="ER30" s="3">
        <f t="shared" si="26"/>
        <v>0</v>
      </c>
      <c r="ES30" s="3">
        <f t="shared" si="26"/>
        <v>0</v>
      </c>
      <c r="ET30" s="3">
        <f t="shared" si="26"/>
        <v>0</v>
      </c>
      <c r="EU30" s="3">
        <f t="shared" si="26"/>
        <v>0</v>
      </c>
      <c r="EV30" s="3">
        <f t="shared" si="26"/>
        <v>0</v>
      </c>
      <c r="EW30" s="3">
        <f t="shared" si="26"/>
        <v>0</v>
      </c>
      <c r="EX30" s="3">
        <f t="shared" si="26"/>
        <v>0</v>
      </c>
      <c r="EY30" s="3">
        <f t="shared" si="26"/>
        <v>0</v>
      </c>
      <c r="EZ30" s="3">
        <f t="shared" si="26"/>
        <v>0</v>
      </c>
      <c r="FA30" s="3">
        <f t="shared" si="26"/>
        <v>0</v>
      </c>
      <c r="FB30" s="3">
        <f t="shared" si="26"/>
        <v>0</v>
      </c>
      <c r="FC30" s="3">
        <f t="shared" si="26"/>
        <v>0</v>
      </c>
      <c r="FD30" s="3">
        <f t="shared" si="26"/>
        <v>0</v>
      </c>
      <c r="FE30" s="3">
        <f t="shared" si="26"/>
        <v>0</v>
      </c>
      <c r="FF30" s="3">
        <f t="shared" si="26"/>
        <v>0</v>
      </c>
      <c r="FG30" s="3">
        <f t="shared" si="26"/>
        <v>0</v>
      </c>
      <c r="FH30" s="3">
        <f t="shared" si="26"/>
        <v>0</v>
      </c>
      <c r="FI30" s="3">
        <f t="shared" si="26"/>
        <v>0</v>
      </c>
      <c r="FJ30" s="3">
        <f t="shared" si="26"/>
        <v>0</v>
      </c>
      <c r="FK30" s="3">
        <f t="shared" si="26"/>
        <v>0</v>
      </c>
      <c r="FL30" s="3">
        <f t="shared" si="26"/>
        <v>0</v>
      </c>
      <c r="FM30" s="3">
        <f t="shared" si="26"/>
        <v>0</v>
      </c>
      <c r="FN30" s="3">
        <f t="shared" si="26"/>
        <v>0</v>
      </c>
      <c r="FO30" s="3">
        <f t="shared" si="26"/>
        <v>0</v>
      </c>
      <c r="FP30" s="3">
        <f t="shared" si="26"/>
        <v>0</v>
      </c>
      <c r="FQ30" s="3">
        <f t="shared" si="26"/>
        <v>0</v>
      </c>
      <c r="FR30" s="3">
        <f t="shared" si="26"/>
        <v>0</v>
      </c>
      <c r="FS30" s="3">
        <f t="shared" ref="FS30:GX30" si="27">FS69</f>
        <v>0</v>
      </c>
      <c r="FT30" s="3">
        <f t="shared" si="27"/>
        <v>0</v>
      </c>
      <c r="FU30" s="3">
        <f t="shared" si="27"/>
        <v>0</v>
      </c>
      <c r="FV30" s="3">
        <f t="shared" si="27"/>
        <v>0</v>
      </c>
      <c r="FW30" s="3">
        <f t="shared" si="27"/>
        <v>0</v>
      </c>
      <c r="FX30" s="3">
        <f t="shared" si="27"/>
        <v>0</v>
      </c>
      <c r="FY30" s="3">
        <f t="shared" si="27"/>
        <v>0</v>
      </c>
      <c r="FZ30" s="3">
        <f t="shared" si="27"/>
        <v>0</v>
      </c>
      <c r="GA30" s="3">
        <f t="shared" si="27"/>
        <v>0</v>
      </c>
      <c r="GB30" s="3">
        <f t="shared" si="27"/>
        <v>0</v>
      </c>
      <c r="GC30" s="3">
        <f t="shared" si="27"/>
        <v>0</v>
      </c>
      <c r="GD30" s="3">
        <f t="shared" si="27"/>
        <v>0</v>
      </c>
      <c r="GE30" s="3">
        <f t="shared" si="27"/>
        <v>0</v>
      </c>
      <c r="GF30" s="3">
        <f t="shared" si="27"/>
        <v>0</v>
      </c>
      <c r="GG30" s="3">
        <f t="shared" si="27"/>
        <v>0</v>
      </c>
      <c r="GH30" s="3">
        <f t="shared" si="27"/>
        <v>0</v>
      </c>
      <c r="GI30" s="3">
        <f t="shared" si="27"/>
        <v>0</v>
      </c>
      <c r="GJ30" s="3">
        <f t="shared" si="27"/>
        <v>0</v>
      </c>
      <c r="GK30" s="3">
        <f t="shared" si="27"/>
        <v>0</v>
      </c>
      <c r="GL30" s="3">
        <f t="shared" si="27"/>
        <v>0</v>
      </c>
      <c r="GM30" s="3">
        <f t="shared" si="27"/>
        <v>0</v>
      </c>
      <c r="GN30" s="3">
        <f t="shared" si="27"/>
        <v>0</v>
      </c>
      <c r="GO30" s="3">
        <f t="shared" si="27"/>
        <v>0</v>
      </c>
      <c r="GP30" s="3">
        <f t="shared" si="27"/>
        <v>0</v>
      </c>
      <c r="GQ30" s="3">
        <f t="shared" si="27"/>
        <v>0</v>
      </c>
      <c r="GR30" s="3">
        <f t="shared" si="27"/>
        <v>0</v>
      </c>
      <c r="GS30" s="3">
        <f t="shared" si="27"/>
        <v>0</v>
      </c>
      <c r="GT30" s="3">
        <f t="shared" si="27"/>
        <v>0</v>
      </c>
      <c r="GU30" s="3">
        <f t="shared" si="27"/>
        <v>0</v>
      </c>
      <c r="GV30" s="3">
        <f t="shared" si="27"/>
        <v>0</v>
      </c>
      <c r="GW30" s="3">
        <f t="shared" si="27"/>
        <v>0</v>
      </c>
      <c r="GX30" s="3">
        <f t="shared" si="27"/>
        <v>0</v>
      </c>
    </row>
    <row r="32" spans="1:245" x14ac:dyDescent="0.2">
      <c r="A32">
        <v>17</v>
      </c>
      <c r="B32">
        <v>1</v>
      </c>
      <c r="C32">
        <f>ROW(SmtRes!A1)</f>
        <v>1</v>
      </c>
      <c r="D32">
        <f>ROW(EtalonRes!A1)</f>
        <v>1</v>
      </c>
      <c r="E32" t="s">
        <v>30</v>
      </c>
      <c r="F32" t="s">
        <v>31</v>
      </c>
      <c r="G32" t="s">
        <v>32</v>
      </c>
      <c r="H32" t="s">
        <v>33</v>
      </c>
      <c r="I32">
        <f>ROUND((1.35*2*1+1.35*2*1)*4/100,9)</f>
        <v>0.216</v>
      </c>
      <c r="J32">
        <v>0</v>
      </c>
      <c r="O32">
        <f>ROUND(CP32,2)</f>
        <v>11799.79</v>
      </c>
      <c r="P32">
        <f>ROUND((ROUND((AC32*AW32*I32),2)*BC32),2)</f>
        <v>0</v>
      </c>
      <c r="Q32">
        <f>(ROUND((ROUND(((ET32)*AV32*I32),2)*BB32),2)+ROUND((ROUND(((AE32-(EU32))*AV32*I32),2)*BS32),2))</f>
        <v>0</v>
      </c>
      <c r="R32">
        <f>ROUND((ROUND((AE32*AV32*I32),2)*BS32),2)</f>
        <v>0</v>
      </c>
      <c r="S32">
        <f>ROUND((ROUND((AF32*AV32*I32),2)*BA32),2)</f>
        <v>11799.79</v>
      </c>
      <c r="T32">
        <f>ROUND(CU32*I32,2)</f>
        <v>0</v>
      </c>
      <c r="U32">
        <f>CV32*I32</f>
        <v>51.945753599999996</v>
      </c>
      <c r="V32">
        <f>CW32*I32</f>
        <v>0</v>
      </c>
      <c r="W32">
        <f>ROUND(CX32*I32,2)</f>
        <v>0</v>
      </c>
      <c r="X32">
        <f t="shared" ref="X32:Y35" si="28">ROUND(CY32,2)</f>
        <v>10029.82</v>
      </c>
      <c r="Y32">
        <f t="shared" si="28"/>
        <v>4837.91</v>
      </c>
      <c r="AA32">
        <v>44175489</v>
      </c>
      <c r="AB32">
        <f>ROUND((AC32+AD32+AF32),6)</f>
        <v>2042.62</v>
      </c>
      <c r="AC32">
        <f>ROUND((ES32),6)</f>
        <v>0</v>
      </c>
      <c r="AD32">
        <f>ROUND((((ET32)-(EU32))+AE32),6)</f>
        <v>0</v>
      </c>
      <c r="AE32">
        <f t="shared" ref="AE32:AF35" si="29">ROUND((EU32),6)</f>
        <v>0</v>
      </c>
      <c r="AF32">
        <f t="shared" si="29"/>
        <v>2042.62</v>
      </c>
      <c r="AG32">
        <f>ROUND((AP32),6)</f>
        <v>0</v>
      </c>
      <c r="AH32">
        <f t="shared" ref="AH32:AI35" si="30">(EW32)</f>
        <v>192.7</v>
      </c>
      <c r="AI32">
        <f t="shared" si="30"/>
        <v>0</v>
      </c>
      <c r="AJ32">
        <f>(AS32)</f>
        <v>0</v>
      </c>
      <c r="AK32">
        <v>2042.62</v>
      </c>
      <c r="AL32">
        <v>0</v>
      </c>
      <c r="AM32">
        <v>0</v>
      </c>
      <c r="AN32">
        <v>0</v>
      </c>
      <c r="AO32">
        <v>2042.62</v>
      </c>
      <c r="AP32">
        <v>0</v>
      </c>
      <c r="AQ32">
        <v>192.7</v>
      </c>
      <c r="AR32">
        <v>0</v>
      </c>
      <c r="AS32">
        <v>0</v>
      </c>
      <c r="AT32">
        <v>85</v>
      </c>
      <c r="AU32">
        <v>41</v>
      </c>
      <c r="AV32">
        <v>1.248</v>
      </c>
      <c r="AW32">
        <v>1</v>
      </c>
      <c r="AZ32">
        <v>1</v>
      </c>
      <c r="BA32">
        <v>21.43</v>
      </c>
      <c r="BB32">
        <v>1</v>
      </c>
      <c r="BC32">
        <v>1</v>
      </c>
      <c r="BD32" t="s">
        <v>6</v>
      </c>
      <c r="BE32" t="s">
        <v>6</v>
      </c>
      <c r="BF32" t="s">
        <v>6</v>
      </c>
      <c r="BG32" t="s">
        <v>6</v>
      </c>
      <c r="BH32">
        <v>0</v>
      </c>
      <c r="BI32">
        <v>1</v>
      </c>
      <c r="BJ32" t="s">
        <v>34</v>
      </c>
      <c r="BM32">
        <v>16</v>
      </c>
      <c r="BN32">
        <v>0</v>
      </c>
      <c r="BO32" t="s">
        <v>31</v>
      </c>
      <c r="BP32">
        <v>1</v>
      </c>
      <c r="BQ32">
        <v>30</v>
      </c>
      <c r="BR32">
        <v>0</v>
      </c>
      <c r="BS32">
        <v>21.43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6</v>
      </c>
      <c r="BZ32">
        <v>85</v>
      </c>
      <c r="CA32">
        <v>41</v>
      </c>
      <c r="CE32">
        <v>30</v>
      </c>
      <c r="CF32">
        <v>0</v>
      </c>
      <c r="CG32">
        <v>0</v>
      </c>
      <c r="CM32">
        <v>0</v>
      </c>
      <c r="CN32" t="s">
        <v>6</v>
      </c>
      <c r="CO32">
        <v>0</v>
      </c>
      <c r="CP32">
        <f>(P32+Q32+S32)</f>
        <v>11799.79</v>
      </c>
      <c r="CQ32">
        <f>ROUND((ROUND((AC32*AW32*1),2)*BC32),2)</f>
        <v>0</v>
      </c>
      <c r="CR32">
        <f>(ROUND((ROUND(((ET32)*AV32*1),2)*BB32),2)+ROUND((ROUND(((AE32-(EU32))*AV32*1),2)*BS32),2))</f>
        <v>0</v>
      </c>
      <c r="CS32">
        <f>ROUND((ROUND((AE32*AV32*1),2)*BS32),2)</f>
        <v>0</v>
      </c>
      <c r="CT32">
        <f>ROUND((ROUND((AF32*AV32*1),2)*BA32),2)</f>
        <v>54629.14</v>
      </c>
      <c r="CU32">
        <f>AG32</f>
        <v>0</v>
      </c>
      <c r="CV32">
        <f>(AH32*AV32)</f>
        <v>240.4896</v>
      </c>
      <c r="CW32">
        <f t="shared" ref="CW32:CX35" si="31">AI32</f>
        <v>0</v>
      </c>
      <c r="CX32">
        <f t="shared" si="31"/>
        <v>0</v>
      </c>
      <c r="CY32">
        <f>S32*(BZ32/100)</f>
        <v>10029.8215</v>
      </c>
      <c r="CZ32">
        <f>S32*(CA32/100)</f>
        <v>4837.9139000000005</v>
      </c>
      <c r="DC32" t="s">
        <v>6</v>
      </c>
      <c r="DD32" t="s">
        <v>6</v>
      </c>
      <c r="DE32" t="s">
        <v>6</v>
      </c>
      <c r="DF32" t="s">
        <v>6</v>
      </c>
      <c r="DG32" t="s">
        <v>6</v>
      </c>
      <c r="DH32" t="s">
        <v>6</v>
      </c>
      <c r="DI32" t="s">
        <v>6</v>
      </c>
      <c r="DJ32" t="s">
        <v>6</v>
      </c>
      <c r="DK32" t="s">
        <v>6</v>
      </c>
      <c r="DL32" t="s">
        <v>6</v>
      </c>
      <c r="DM32" t="s">
        <v>6</v>
      </c>
      <c r="DN32">
        <v>105</v>
      </c>
      <c r="DO32">
        <v>77</v>
      </c>
      <c r="DP32">
        <v>1.248</v>
      </c>
      <c r="DQ32">
        <v>1</v>
      </c>
      <c r="DU32">
        <v>1013</v>
      </c>
      <c r="DV32" t="s">
        <v>33</v>
      </c>
      <c r="DW32" t="s">
        <v>33</v>
      </c>
      <c r="DX32">
        <v>1</v>
      </c>
      <c r="EE32">
        <v>44063879</v>
      </c>
      <c r="EF32">
        <v>30</v>
      </c>
      <c r="EG32" t="s">
        <v>29</v>
      </c>
      <c r="EH32">
        <v>0</v>
      </c>
      <c r="EI32" t="s">
        <v>6</v>
      </c>
      <c r="EJ32">
        <v>1</v>
      </c>
      <c r="EK32">
        <v>16</v>
      </c>
      <c r="EL32" t="s">
        <v>35</v>
      </c>
      <c r="EM32" t="s">
        <v>36</v>
      </c>
      <c r="EO32" t="s">
        <v>6</v>
      </c>
      <c r="EQ32">
        <v>131072</v>
      </c>
      <c r="ER32">
        <v>2042.62</v>
      </c>
      <c r="ES32">
        <v>0</v>
      </c>
      <c r="ET32">
        <v>0</v>
      </c>
      <c r="EU32">
        <v>0</v>
      </c>
      <c r="EV32">
        <v>2042.62</v>
      </c>
      <c r="EW32">
        <v>192.7</v>
      </c>
      <c r="EX32">
        <v>0</v>
      </c>
      <c r="EY32">
        <v>0</v>
      </c>
      <c r="FQ32">
        <v>0</v>
      </c>
      <c r="FR32">
        <f>ROUND(IF(AND(BH32=3,BI32=3),P32,0),2)</f>
        <v>0</v>
      </c>
      <c r="FS32">
        <v>0</v>
      </c>
      <c r="FX32">
        <v>105</v>
      </c>
      <c r="FY32">
        <v>77</v>
      </c>
      <c r="GA32" t="s">
        <v>6</v>
      </c>
      <c r="GD32">
        <v>0</v>
      </c>
      <c r="GF32">
        <v>-1632341149</v>
      </c>
      <c r="GG32">
        <v>2</v>
      </c>
      <c r="GH32">
        <v>1</v>
      </c>
      <c r="GI32">
        <v>2</v>
      </c>
      <c r="GJ32">
        <v>0</v>
      </c>
      <c r="GK32">
        <f>ROUND(R32*(R12)/100,2)</f>
        <v>0</v>
      </c>
      <c r="GL32">
        <f>ROUND(IF(AND(BH32=3,BI32=3,FS32&lt;&gt;0),P32,0),2)</f>
        <v>0</v>
      </c>
      <c r="GM32">
        <f>ROUND(O32+X32+Y32+GK32,2)+GX32</f>
        <v>26667.52</v>
      </c>
      <c r="GN32">
        <f>IF(OR(BI32=0,BI32=1),ROUND(O32+X32+Y32+GK32,2),0)</f>
        <v>26667.52</v>
      </c>
      <c r="GO32">
        <f>IF(BI32=2,ROUND(O32+X32+Y32+GK32,2),0)</f>
        <v>0</v>
      </c>
      <c r="GP32">
        <f>IF(BI32=4,ROUND(O32+X32+Y32+GK32,2)+GX32,0)</f>
        <v>0</v>
      </c>
      <c r="GR32">
        <v>0</v>
      </c>
      <c r="GS32">
        <v>0</v>
      </c>
      <c r="GT32">
        <v>0</v>
      </c>
      <c r="GU32" t="s">
        <v>6</v>
      </c>
      <c r="GV32">
        <f>ROUND((GT32),6)</f>
        <v>0</v>
      </c>
      <c r="GW32">
        <v>1</v>
      </c>
      <c r="GX32">
        <f>ROUND(HC32*I32,2)</f>
        <v>0</v>
      </c>
      <c r="HA32">
        <v>0</v>
      </c>
      <c r="HB32">
        <v>0</v>
      </c>
      <c r="HC32">
        <f>GV32*GW32</f>
        <v>0</v>
      </c>
      <c r="IK32">
        <v>0</v>
      </c>
    </row>
    <row r="33" spans="1:245" x14ac:dyDescent="0.2">
      <c r="A33">
        <v>17</v>
      </c>
      <c r="B33">
        <v>1</v>
      </c>
      <c r="C33">
        <f>ROW(SmtRes!A4)</f>
        <v>4</v>
      </c>
      <c r="D33">
        <f>ROW(EtalonRes!A2)</f>
        <v>2</v>
      </c>
      <c r="E33" t="s">
        <v>24</v>
      </c>
      <c r="F33" t="s">
        <v>37</v>
      </c>
      <c r="G33" t="s">
        <v>38</v>
      </c>
      <c r="H33" t="s">
        <v>33</v>
      </c>
      <c r="I33">
        <f>ROUND(I32,9)</f>
        <v>0.216</v>
      </c>
      <c r="J33">
        <v>0</v>
      </c>
      <c r="O33">
        <f>ROUND(CP33,2)</f>
        <v>6072.19</v>
      </c>
      <c r="P33">
        <f>ROUND((ROUND((AC33*AW33*I33),2)*BC33),2)</f>
        <v>0</v>
      </c>
      <c r="Q33">
        <f>(ROUND((ROUND(((ET33)*AV33*I33),2)*BB33),2)+ROUND((ROUND(((AE33-(EU33))*AV33*I33),2)*BS33),2))</f>
        <v>0</v>
      </c>
      <c r="R33">
        <f>ROUND((ROUND((AE33*AV33*I33),2)*BS33),2)</f>
        <v>0</v>
      </c>
      <c r="S33">
        <f>ROUND((ROUND((AF33*AV33*I33),2)*BA33),2)</f>
        <v>6072.19</v>
      </c>
      <c r="T33">
        <f>ROUND(CU33*I33,2)</f>
        <v>0</v>
      </c>
      <c r="U33">
        <f>CV33*I33</f>
        <v>28.854558720000004</v>
      </c>
      <c r="V33">
        <f>CW33*I33</f>
        <v>0</v>
      </c>
      <c r="W33">
        <f>ROUND(CX33*I33,2)</f>
        <v>0</v>
      </c>
      <c r="X33">
        <f t="shared" si="28"/>
        <v>5161.3599999999997</v>
      </c>
      <c r="Y33">
        <f t="shared" si="28"/>
        <v>2489.6</v>
      </c>
      <c r="AA33">
        <v>44175489</v>
      </c>
      <c r="AB33">
        <f>ROUND((AC33+AD33+AF33),6)</f>
        <v>1051.1300000000001</v>
      </c>
      <c r="AC33">
        <f>ROUND((ES33),6)</f>
        <v>0</v>
      </c>
      <c r="AD33">
        <f>ROUND((((ET33)-(EU33))+AE33),6)</f>
        <v>0</v>
      </c>
      <c r="AE33">
        <f t="shared" si="29"/>
        <v>0</v>
      </c>
      <c r="AF33">
        <f t="shared" si="29"/>
        <v>1051.1300000000001</v>
      </c>
      <c r="AG33">
        <f>ROUND((AP33),6)</f>
        <v>0</v>
      </c>
      <c r="AH33">
        <f t="shared" si="30"/>
        <v>107.04</v>
      </c>
      <c r="AI33">
        <f t="shared" si="30"/>
        <v>0</v>
      </c>
      <c r="AJ33">
        <f>(AS33)</f>
        <v>0</v>
      </c>
      <c r="AK33">
        <v>1051.1300000000001</v>
      </c>
      <c r="AL33">
        <v>0</v>
      </c>
      <c r="AM33">
        <v>0</v>
      </c>
      <c r="AN33">
        <v>0</v>
      </c>
      <c r="AO33">
        <v>1051.1300000000001</v>
      </c>
      <c r="AP33">
        <v>0</v>
      </c>
      <c r="AQ33">
        <v>107.04</v>
      </c>
      <c r="AR33">
        <v>0</v>
      </c>
      <c r="AS33">
        <v>0</v>
      </c>
      <c r="AT33">
        <v>85</v>
      </c>
      <c r="AU33">
        <v>41</v>
      </c>
      <c r="AV33">
        <v>1.248</v>
      </c>
      <c r="AW33">
        <v>1</v>
      </c>
      <c r="AZ33">
        <v>1</v>
      </c>
      <c r="BA33">
        <v>21.43</v>
      </c>
      <c r="BB33">
        <v>1</v>
      </c>
      <c r="BC33">
        <v>1</v>
      </c>
      <c r="BD33" t="s">
        <v>6</v>
      </c>
      <c r="BE33" t="s">
        <v>6</v>
      </c>
      <c r="BF33" t="s">
        <v>6</v>
      </c>
      <c r="BG33" t="s">
        <v>6</v>
      </c>
      <c r="BH33">
        <v>0</v>
      </c>
      <c r="BI33">
        <v>1</v>
      </c>
      <c r="BJ33" t="s">
        <v>39</v>
      </c>
      <c r="BM33">
        <v>16</v>
      </c>
      <c r="BN33">
        <v>0</v>
      </c>
      <c r="BO33" t="s">
        <v>37</v>
      </c>
      <c r="BP33">
        <v>1</v>
      </c>
      <c r="BQ33">
        <v>30</v>
      </c>
      <c r="BR33">
        <v>0</v>
      </c>
      <c r="BS33">
        <v>21.43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6</v>
      </c>
      <c r="BZ33">
        <v>85</v>
      </c>
      <c r="CA33">
        <v>41</v>
      </c>
      <c r="CE33">
        <v>30</v>
      </c>
      <c r="CF33">
        <v>0</v>
      </c>
      <c r="CG33">
        <v>0</v>
      </c>
      <c r="CM33">
        <v>0</v>
      </c>
      <c r="CN33" t="s">
        <v>6</v>
      </c>
      <c r="CO33">
        <v>0</v>
      </c>
      <c r="CP33">
        <f>(P33+Q33+S33)</f>
        <v>6072.19</v>
      </c>
      <c r="CQ33">
        <f>ROUND((ROUND((AC33*AW33*1),2)*BC33),2)</f>
        <v>0</v>
      </c>
      <c r="CR33">
        <f>(ROUND((ROUND(((ET33)*AV33*1),2)*BB33),2)+ROUND((ROUND(((AE33-(EU33))*AV33*1),2)*BS33),2))</f>
        <v>0</v>
      </c>
      <c r="CS33">
        <f>ROUND((ROUND((AE33*AV33*1),2)*BS33),2)</f>
        <v>0</v>
      </c>
      <c r="CT33">
        <f>ROUND((ROUND((AF33*AV33*1),2)*BA33),2)</f>
        <v>28112.09</v>
      </c>
      <c r="CU33">
        <f>AG33</f>
        <v>0</v>
      </c>
      <c r="CV33">
        <f>(AH33*AV33)</f>
        <v>133.58592000000002</v>
      </c>
      <c r="CW33">
        <f t="shared" si="31"/>
        <v>0</v>
      </c>
      <c r="CX33">
        <f t="shared" si="31"/>
        <v>0</v>
      </c>
      <c r="CY33">
        <f>S33*(BZ33/100)</f>
        <v>5161.3615</v>
      </c>
      <c r="CZ33">
        <f>S33*(CA33/100)</f>
        <v>2489.5978999999998</v>
      </c>
      <c r="DC33" t="s">
        <v>6</v>
      </c>
      <c r="DD33" t="s">
        <v>6</v>
      </c>
      <c r="DE33" t="s">
        <v>6</v>
      </c>
      <c r="DF33" t="s">
        <v>6</v>
      </c>
      <c r="DG33" t="s">
        <v>6</v>
      </c>
      <c r="DH33" t="s">
        <v>6</v>
      </c>
      <c r="DI33" t="s">
        <v>6</v>
      </c>
      <c r="DJ33" t="s">
        <v>6</v>
      </c>
      <c r="DK33" t="s">
        <v>6</v>
      </c>
      <c r="DL33" t="s">
        <v>6</v>
      </c>
      <c r="DM33" t="s">
        <v>6</v>
      </c>
      <c r="DN33">
        <v>105</v>
      </c>
      <c r="DO33">
        <v>77</v>
      </c>
      <c r="DP33">
        <v>1.248</v>
      </c>
      <c r="DQ33">
        <v>1</v>
      </c>
      <c r="DU33">
        <v>1013</v>
      </c>
      <c r="DV33" t="s">
        <v>33</v>
      </c>
      <c r="DW33" t="s">
        <v>33</v>
      </c>
      <c r="DX33">
        <v>1</v>
      </c>
      <c r="EE33">
        <v>44063879</v>
      </c>
      <c r="EF33">
        <v>30</v>
      </c>
      <c r="EG33" t="s">
        <v>29</v>
      </c>
      <c r="EH33">
        <v>0</v>
      </c>
      <c r="EI33" t="s">
        <v>6</v>
      </c>
      <c r="EJ33">
        <v>1</v>
      </c>
      <c r="EK33">
        <v>16</v>
      </c>
      <c r="EL33" t="s">
        <v>35</v>
      </c>
      <c r="EM33" t="s">
        <v>36</v>
      </c>
      <c r="EO33" t="s">
        <v>6</v>
      </c>
      <c r="EQ33">
        <v>131072</v>
      </c>
      <c r="ER33">
        <v>1051.1300000000001</v>
      </c>
      <c r="ES33">
        <v>0</v>
      </c>
      <c r="ET33">
        <v>0</v>
      </c>
      <c r="EU33">
        <v>0</v>
      </c>
      <c r="EV33">
        <v>1051.1300000000001</v>
      </c>
      <c r="EW33">
        <v>107.04</v>
      </c>
      <c r="EX33">
        <v>0</v>
      </c>
      <c r="EY33">
        <v>0</v>
      </c>
      <c r="FQ33">
        <v>0</v>
      </c>
      <c r="FR33">
        <f>ROUND(IF(AND(BH33=3,BI33=3),P33,0),2)</f>
        <v>0</v>
      </c>
      <c r="FS33">
        <v>0</v>
      </c>
      <c r="FX33">
        <v>105</v>
      </c>
      <c r="FY33">
        <v>77</v>
      </c>
      <c r="GA33" t="s">
        <v>6</v>
      </c>
      <c r="GD33">
        <v>0</v>
      </c>
      <c r="GF33">
        <v>-367495180</v>
      </c>
      <c r="GG33">
        <v>2</v>
      </c>
      <c r="GH33">
        <v>1</v>
      </c>
      <c r="GI33">
        <v>2</v>
      </c>
      <c r="GJ33">
        <v>0</v>
      </c>
      <c r="GK33">
        <f>ROUND(R33*(R12)/100,2)</f>
        <v>0</v>
      </c>
      <c r="GL33">
        <f>ROUND(IF(AND(BH33=3,BI33=3,FS33&lt;&gt;0),P33,0),2)</f>
        <v>0</v>
      </c>
      <c r="GM33">
        <f>ROUND(O33+X33+Y33+GK33,2)+GX33</f>
        <v>13723.15</v>
      </c>
      <c r="GN33">
        <f>IF(OR(BI33=0,BI33=1),ROUND(O33+X33+Y33+GK33,2),0)</f>
        <v>13723.15</v>
      </c>
      <c r="GO33">
        <f>IF(BI33=2,ROUND(O33+X33+Y33+GK33,2),0)</f>
        <v>0</v>
      </c>
      <c r="GP33">
        <f>IF(BI33=4,ROUND(O33+X33+Y33+GK33,2)+GX33,0)</f>
        <v>0</v>
      </c>
      <c r="GR33">
        <v>0</v>
      </c>
      <c r="GS33">
        <v>0</v>
      </c>
      <c r="GT33">
        <v>0</v>
      </c>
      <c r="GU33" t="s">
        <v>6</v>
      </c>
      <c r="GV33">
        <f>ROUND((GT33),6)</f>
        <v>0</v>
      </c>
      <c r="GW33">
        <v>1</v>
      </c>
      <c r="GX33">
        <f>ROUND(HC33*I33,2)</f>
        <v>0</v>
      </c>
      <c r="HA33">
        <v>0</v>
      </c>
      <c r="HB33">
        <v>0</v>
      </c>
      <c r="HC33">
        <f>GV33*GW33</f>
        <v>0</v>
      </c>
      <c r="IK33">
        <v>0</v>
      </c>
    </row>
    <row r="34" spans="1:245" x14ac:dyDescent="0.2">
      <c r="A34">
        <v>17</v>
      </c>
      <c r="B34">
        <v>1</v>
      </c>
      <c r="E34" t="s">
        <v>40</v>
      </c>
      <c r="F34" t="s">
        <v>41</v>
      </c>
      <c r="G34" t="s">
        <v>42</v>
      </c>
      <c r="H34" t="s">
        <v>43</v>
      </c>
      <c r="I34">
        <f>ROUND(I33*100*1.1,9)</f>
        <v>23.76</v>
      </c>
      <c r="J34">
        <v>0</v>
      </c>
      <c r="O34">
        <f>ROUND(CP34,2)</f>
        <v>13096.44</v>
      </c>
      <c r="P34">
        <f>ROUND((ROUND((AC34*AW34*I34),2)*BC34),2)</f>
        <v>13096.44</v>
      </c>
      <c r="Q34">
        <f>(ROUND((ROUND(((ET34)*AV34*I34),2)*BB34),2)+ROUND((ROUND(((AE34-(EU34))*AV34*I34),2)*BS34),2))</f>
        <v>0</v>
      </c>
      <c r="R34">
        <f>ROUND((ROUND((AE34*AV34*I34),2)*BS34),2)</f>
        <v>0</v>
      </c>
      <c r="S34">
        <f>ROUND((ROUND((AF34*AV34*I34),2)*BA34),2)</f>
        <v>0</v>
      </c>
      <c r="T34">
        <f>ROUND(CU34*I34,2)</f>
        <v>0</v>
      </c>
      <c r="U34">
        <f>CV34*I34</f>
        <v>0</v>
      </c>
      <c r="V34">
        <f>CW34*I34</f>
        <v>0</v>
      </c>
      <c r="W34">
        <f>ROUND(CX34*I34,2)</f>
        <v>0</v>
      </c>
      <c r="X34">
        <f t="shared" si="28"/>
        <v>0</v>
      </c>
      <c r="Y34">
        <f t="shared" si="28"/>
        <v>0</v>
      </c>
      <c r="AA34">
        <v>44175489</v>
      </c>
      <c r="AB34">
        <f>ROUND((AC34+AD34+AF34),6)</f>
        <v>104.99</v>
      </c>
      <c r="AC34">
        <f>ROUND((ES34),6)</f>
        <v>104.99</v>
      </c>
      <c r="AD34">
        <f>ROUND((((ET34)-(EU34))+AE34),6)</f>
        <v>0</v>
      </c>
      <c r="AE34">
        <f t="shared" si="29"/>
        <v>0</v>
      </c>
      <c r="AF34">
        <f t="shared" si="29"/>
        <v>0</v>
      </c>
      <c r="AG34">
        <f>ROUND((AP34),6)</f>
        <v>0</v>
      </c>
      <c r="AH34">
        <f t="shared" si="30"/>
        <v>0</v>
      </c>
      <c r="AI34">
        <f t="shared" si="30"/>
        <v>0</v>
      </c>
      <c r="AJ34">
        <f>(AS34)</f>
        <v>0</v>
      </c>
      <c r="AK34">
        <v>104.99</v>
      </c>
      <c r="AL34">
        <v>104.99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1</v>
      </c>
      <c r="AW34">
        <v>1</v>
      </c>
      <c r="AZ34">
        <v>1</v>
      </c>
      <c r="BA34">
        <v>1</v>
      </c>
      <c r="BB34">
        <v>1</v>
      </c>
      <c r="BC34">
        <v>5.25</v>
      </c>
      <c r="BD34" t="s">
        <v>6</v>
      </c>
      <c r="BE34" t="s">
        <v>6</v>
      </c>
      <c r="BF34" t="s">
        <v>6</v>
      </c>
      <c r="BG34" t="s">
        <v>6</v>
      </c>
      <c r="BH34">
        <v>3</v>
      </c>
      <c r="BI34">
        <v>1</v>
      </c>
      <c r="BJ34" t="s">
        <v>44</v>
      </c>
      <c r="BM34">
        <v>1617</v>
      </c>
      <c r="BN34">
        <v>0</v>
      </c>
      <c r="BO34" t="s">
        <v>41</v>
      </c>
      <c r="BP34">
        <v>1</v>
      </c>
      <c r="BQ34">
        <v>200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6</v>
      </c>
      <c r="BZ34">
        <v>0</v>
      </c>
      <c r="CA34">
        <v>0</v>
      </c>
      <c r="CE34">
        <v>30</v>
      </c>
      <c r="CF34">
        <v>0</v>
      </c>
      <c r="CG34">
        <v>0</v>
      </c>
      <c r="CM34">
        <v>0</v>
      </c>
      <c r="CN34" t="s">
        <v>6</v>
      </c>
      <c r="CO34">
        <v>0</v>
      </c>
      <c r="CP34">
        <f>(P34+Q34+S34)</f>
        <v>13096.44</v>
      </c>
      <c r="CQ34">
        <f>ROUND((ROUND((AC34*AW34*1),2)*BC34),2)</f>
        <v>551.20000000000005</v>
      </c>
      <c r="CR34">
        <f>(ROUND((ROUND(((ET34)*AV34*1),2)*BB34),2)+ROUND((ROUND(((AE34-(EU34))*AV34*1),2)*BS34),2))</f>
        <v>0</v>
      </c>
      <c r="CS34">
        <f>ROUND((ROUND((AE34*AV34*1),2)*BS34),2)</f>
        <v>0</v>
      </c>
      <c r="CT34">
        <f>ROUND((ROUND((AF34*AV34*1),2)*BA34),2)</f>
        <v>0</v>
      </c>
      <c r="CU34">
        <f>AG34</f>
        <v>0</v>
      </c>
      <c r="CV34">
        <f>(AH34*AV34)</f>
        <v>0</v>
      </c>
      <c r="CW34">
        <f t="shared" si="31"/>
        <v>0</v>
      </c>
      <c r="CX34">
        <f t="shared" si="31"/>
        <v>0</v>
      </c>
      <c r="CY34">
        <f>S34*(BZ34/100)</f>
        <v>0</v>
      </c>
      <c r="CZ34">
        <f>S34*(CA34/100)</f>
        <v>0</v>
      </c>
      <c r="DC34" t="s">
        <v>6</v>
      </c>
      <c r="DD34" t="s">
        <v>6</v>
      </c>
      <c r="DE34" t="s">
        <v>6</v>
      </c>
      <c r="DF34" t="s">
        <v>6</v>
      </c>
      <c r="DG34" t="s">
        <v>6</v>
      </c>
      <c r="DH34" t="s">
        <v>6</v>
      </c>
      <c r="DI34" t="s">
        <v>6</v>
      </c>
      <c r="DJ34" t="s">
        <v>6</v>
      </c>
      <c r="DK34" t="s">
        <v>6</v>
      </c>
      <c r="DL34" t="s">
        <v>6</v>
      </c>
      <c r="DM34" t="s">
        <v>6</v>
      </c>
      <c r="DN34">
        <v>0</v>
      </c>
      <c r="DO34">
        <v>0</v>
      </c>
      <c r="DP34">
        <v>1</v>
      </c>
      <c r="DQ34">
        <v>1</v>
      </c>
      <c r="DU34">
        <v>1007</v>
      </c>
      <c r="DV34" t="s">
        <v>43</v>
      </c>
      <c r="DW34" t="s">
        <v>43</v>
      </c>
      <c r="DX34">
        <v>1</v>
      </c>
      <c r="EE34">
        <v>44065436</v>
      </c>
      <c r="EF34">
        <v>200</v>
      </c>
      <c r="EG34" t="s">
        <v>45</v>
      </c>
      <c r="EH34">
        <v>0</v>
      </c>
      <c r="EI34" t="s">
        <v>6</v>
      </c>
      <c r="EJ34">
        <v>1</v>
      </c>
      <c r="EK34">
        <v>1617</v>
      </c>
      <c r="EL34" t="s">
        <v>46</v>
      </c>
      <c r="EM34" t="s">
        <v>47</v>
      </c>
      <c r="EO34" t="s">
        <v>6</v>
      </c>
      <c r="EQ34">
        <v>131072</v>
      </c>
      <c r="ER34">
        <v>104.99</v>
      </c>
      <c r="ES34">
        <v>104.99</v>
      </c>
      <c r="ET34">
        <v>0</v>
      </c>
      <c r="EU34">
        <v>0</v>
      </c>
      <c r="EV34">
        <v>0</v>
      </c>
      <c r="EW34">
        <v>0</v>
      </c>
      <c r="EX34">
        <v>0</v>
      </c>
      <c r="EY34">
        <v>0</v>
      </c>
      <c r="FQ34">
        <v>0</v>
      </c>
      <c r="FR34">
        <f>ROUND(IF(AND(BH34=3,BI34=3),P34,0),2)</f>
        <v>0</v>
      </c>
      <c r="FS34">
        <v>0</v>
      </c>
      <c r="FX34">
        <v>0</v>
      </c>
      <c r="FY34">
        <v>0</v>
      </c>
      <c r="GA34" t="s">
        <v>6</v>
      </c>
      <c r="GD34">
        <v>0</v>
      </c>
      <c r="GF34">
        <v>2069056849</v>
      </c>
      <c r="GG34">
        <v>2</v>
      </c>
      <c r="GH34">
        <v>1</v>
      </c>
      <c r="GI34">
        <v>2</v>
      </c>
      <c r="GJ34">
        <v>0</v>
      </c>
      <c r="GK34">
        <f>ROUND(R34*(R12)/100,2)</f>
        <v>0</v>
      </c>
      <c r="GL34">
        <f>ROUND(IF(AND(BH34=3,BI34=3,FS34&lt;&gt;0),P34,0),2)</f>
        <v>0</v>
      </c>
      <c r="GM34">
        <f>ROUND(O34+X34+Y34+GK34,2)+GX34</f>
        <v>13096.44</v>
      </c>
      <c r="GN34">
        <f>IF(OR(BI34=0,BI34=1),ROUND(O34+X34+Y34+GK34,2),0)</f>
        <v>13096.44</v>
      </c>
      <c r="GO34">
        <f>IF(BI34=2,ROUND(O34+X34+Y34+GK34,2),0)</f>
        <v>0</v>
      </c>
      <c r="GP34">
        <f>IF(BI34=4,ROUND(O34+X34+Y34+GK34,2)+GX34,0)</f>
        <v>0</v>
      </c>
      <c r="GR34">
        <v>0</v>
      </c>
      <c r="GS34">
        <v>0</v>
      </c>
      <c r="GT34">
        <v>0</v>
      </c>
      <c r="GU34" t="s">
        <v>6</v>
      </c>
      <c r="GV34">
        <f>ROUND((GT34),6)</f>
        <v>0</v>
      </c>
      <c r="GW34">
        <v>1</v>
      </c>
      <c r="GX34">
        <f>ROUND(HC34*I34,2)</f>
        <v>0</v>
      </c>
      <c r="HA34">
        <v>0</v>
      </c>
      <c r="HB34">
        <v>0</v>
      </c>
      <c r="HC34">
        <f>GV34*GW34</f>
        <v>0</v>
      </c>
      <c r="IK34">
        <v>0</v>
      </c>
    </row>
    <row r="35" spans="1:245" x14ac:dyDescent="0.2">
      <c r="A35">
        <v>17</v>
      </c>
      <c r="B35">
        <v>1</v>
      </c>
      <c r="C35">
        <f>ROW(SmtRes!A5)</f>
        <v>5</v>
      </c>
      <c r="D35">
        <f>ROW(EtalonRes!A3)</f>
        <v>3</v>
      </c>
      <c r="E35" t="s">
        <v>48</v>
      </c>
      <c r="F35" t="s">
        <v>49</v>
      </c>
      <c r="G35" t="s">
        <v>50</v>
      </c>
      <c r="H35" t="s">
        <v>33</v>
      </c>
      <c r="I35">
        <f>ROUND(I33,9)</f>
        <v>0.216</v>
      </c>
      <c r="J35">
        <v>0</v>
      </c>
      <c r="O35">
        <f>ROUND(CP35,2)</f>
        <v>4593.3100000000004</v>
      </c>
      <c r="P35">
        <f>ROUND((ROUND((AC35*AW35*I35),2)*BC35),2)</f>
        <v>0</v>
      </c>
      <c r="Q35">
        <f>(ROUND((ROUND(((ET35)*AV35*I35),2)*BB35),2)+ROUND((ROUND(((AE35-(EU35))*AV35*I35),2)*BS35),2))</f>
        <v>0</v>
      </c>
      <c r="R35">
        <f>ROUND((ROUND((AE35*AV35*I35),2)*BS35),2)</f>
        <v>0</v>
      </c>
      <c r="S35">
        <f>ROUND((ROUND((AF35*AV35*I35),2)*BA35),2)</f>
        <v>4593.3100000000004</v>
      </c>
      <c r="T35">
        <f>ROUND(CU35*I35,2)</f>
        <v>0</v>
      </c>
      <c r="U35">
        <f>CV35*I35</f>
        <v>22.374144000000001</v>
      </c>
      <c r="V35">
        <f>CW35*I35</f>
        <v>0</v>
      </c>
      <c r="W35">
        <f>ROUND(CX35*I35,2)</f>
        <v>0</v>
      </c>
      <c r="X35">
        <f t="shared" si="28"/>
        <v>3353.12</v>
      </c>
      <c r="Y35">
        <f t="shared" si="28"/>
        <v>1883.26</v>
      </c>
      <c r="AA35">
        <v>44175489</v>
      </c>
      <c r="AB35">
        <f>ROUND((AC35+AD35+AF35),6)</f>
        <v>795.14</v>
      </c>
      <c r="AC35">
        <f>ROUND((ES35),6)</f>
        <v>0</v>
      </c>
      <c r="AD35">
        <f>ROUND((((ET35)-(EU35))+AE35),6)</f>
        <v>0</v>
      </c>
      <c r="AE35">
        <f t="shared" si="29"/>
        <v>0</v>
      </c>
      <c r="AF35">
        <f t="shared" si="29"/>
        <v>795.14</v>
      </c>
      <c r="AG35">
        <f>ROUND((AP35),6)</f>
        <v>0</v>
      </c>
      <c r="AH35">
        <f t="shared" si="30"/>
        <v>83</v>
      </c>
      <c r="AI35">
        <f t="shared" si="30"/>
        <v>0</v>
      </c>
      <c r="AJ35">
        <f>(AS35)</f>
        <v>0</v>
      </c>
      <c r="AK35">
        <v>795.14</v>
      </c>
      <c r="AL35">
        <v>0</v>
      </c>
      <c r="AM35">
        <v>0</v>
      </c>
      <c r="AN35">
        <v>0</v>
      </c>
      <c r="AO35">
        <v>795.14</v>
      </c>
      <c r="AP35">
        <v>0</v>
      </c>
      <c r="AQ35">
        <v>83</v>
      </c>
      <c r="AR35">
        <v>0</v>
      </c>
      <c r="AS35">
        <v>0</v>
      </c>
      <c r="AT35">
        <v>73</v>
      </c>
      <c r="AU35">
        <v>41</v>
      </c>
      <c r="AV35">
        <v>1.248</v>
      </c>
      <c r="AW35">
        <v>1</v>
      </c>
      <c r="AZ35">
        <v>1</v>
      </c>
      <c r="BA35">
        <v>21.43</v>
      </c>
      <c r="BB35">
        <v>1</v>
      </c>
      <c r="BC35">
        <v>1</v>
      </c>
      <c r="BD35" t="s">
        <v>6</v>
      </c>
      <c r="BE35" t="s">
        <v>6</v>
      </c>
      <c r="BF35" t="s">
        <v>6</v>
      </c>
      <c r="BG35" t="s">
        <v>6</v>
      </c>
      <c r="BH35">
        <v>0</v>
      </c>
      <c r="BI35">
        <v>1</v>
      </c>
      <c r="BJ35" t="s">
        <v>51</v>
      </c>
      <c r="BM35">
        <v>393</v>
      </c>
      <c r="BN35">
        <v>0</v>
      </c>
      <c r="BO35" t="s">
        <v>49</v>
      </c>
      <c r="BP35">
        <v>1</v>
      </c>
      <c r="BQ35">
        <v>60</v>
      </c>
      <c r="BR35">
        <v>0</v>
      </c>
      <c r="BS35">
        <v>21.43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6</v>
      </c>
      <c r="BZ35">
        <v>73</v>
      </c>
      <c r="CA35">
        <v>41</v>
      </c>
      <c r="CE35">
        <v>30</v>
      </c>
      <c r="CF35">
        <v>0</v>
      </c>
      <c r="CG35">
        <v>0</v>
      </c>
      <c r="CM35">
        <v>0</v>
      </c>
      <c r="CN35" t="s">
        <v>6</v>
      </c>
      <c r="CO35">
        <v>0</v>
      </c>
      <c r="CP35">
        <f>(P35+Q35+S35)</f>
        <v>4593.3100000000004</v>
      </c>
      <c r="CQ35">
        <f>ROUND((ROUND((AC35*AW35*1),2)*BC35),2)</f>
        <v>0</v>
      </c>
      <c r="CR35">
        <f>(ROUND((ROUND(((ET35)*AV35*1),2)*BB35),2)+ROUND((ROUND(((AE35-(EU35))*AV35*1),2)*BS35),2))</f>
        <v>0</v>
      </c>
      <c r="CS35">
        <f>ROUND((ROUND((AE35*AV35*1),2)*BS35),2)</f>
        <v>0</v>
      </c>
      <c r="CT35">
        <f>ROUND((ROUND((AF35*AV35*1),2)*BA35),2)</f>
        <v>21265.63</v>
      </c>
      <c r="CU35">
        <f>AG35</f>
        <v>0</v>
      </c>
      <c r="CV35">
        <f>(AH35*AV35)</f>
        <v>103.584</v>
      </c>
      <c r="CW35">
        <f t="shared" si="31"/>
        <v>0</v>
      </c>
      <c r="CX35">
        <f t="shared" si="31"/>
        <v>0</v>
      </c>
      <c r="CY35">
        <f>S35*(BZ35/100)</f>
        <v>3353.1163000000001</v>
      </c>
      <c r="CZ35">
        <f>S35*(CA35/100)</f>
        <v>1883.2571</v>
      </c>
      <c r="DC35" t="s">
        <v>6</v>
      </c>
      <c r="DD35" t="s">
        <v>6</v>
      </c>
      <c r="DE35" t="s">
        <v>6</v>
      </c>
      <c r="DF35" t="s">
        <v>6</v>
      </c>
      <c r="DG35" t="s">
        <v>6</v>
      </c>
      <c r="DH35" t="s">
        <v>6</v>
      </c>
      <c r="DI35" t="s">
        <v>6</v>
      </c>
      <c r="DJ35" t="s">
        <v>6</v>
      </c>
      <c r="DK35" t="s">
        <v>6</v>
      </c>
      <c r="DL35" t="s">
        <v>6</v>
      </c>
      <c r="DM35" t="s">
        <v>6</v>
      </c>
      <c r="DN35">
        <v>91</v>
      </c>
      <c r="DO35">
        <v>67</v>
      </c>
      <c r="DP35">
        <v>1.248</v>
      </c>
      <c r="DQ35">
        <v>1</v>
      </c>
      <c r="DU35">
        <v>1013</v>
      </c>
      <c r="DV35" t="s">
        <v>33</v>
      </c>
      <c r="DW35" t="s">
        <v>33</v>
      </c>
      <c r="DX35">
        <v>1</v>
      </c>
      <c r="EE35">
        <v>44064212</v>
      </c>
      <c r="EF35">
        <v>60</v>
      </c>
      <c r="EG35" t="s">
        <v>52</v>
      </c>
      <c r="EH35">
        <v>0</v>
      </c>
      <c r="EI35" t="s">
        <v>6</v>
      </c>
      <c r="EJ35">
        <v>1</v>
      </c>
      <c r="EK35">
        <v>393</v>
      </c>
      <c r="EL35" t="s">
        <v>53</v>
      </c>
      <c r="EM35" t="s">
        <v>54</v>
      </c>
      <c r="EO35" t="s">
        <v>6</v>
      </c>
      <c r="EQ35">
        <v>131072</v>
      </c>
      <c r="ER35">
        <v>795.14</v>
      </c>
      <c r="ES35">
        <v>0</v>
      </c>
      <c r="ET35">
        <v>0</v>
      </c>
      <c r="EU35">
        <v>0</v>
      </c>
      <c r="EV35">
        <v>795.14</v>
      </c>
      <c r="EW35">
        <v>83</v>
      </c>
      <c r="EX35">
        <v>0</v>
      </c>
      <c r="EY35">
        <v>0</v>
      </c>
      <c r="FQ35">
        <v>0</v>
      </c>
      <c r="FR35">
        <f>ROUND(IF(AND(BH35=3,BI35=3),P35,0),2)</f>
        <v>0</v>
      </c>
      <c r="FS35">
        <v>0</v>
      </c>
      <c r="FX35">
        <v>91</v>
      </c>
      <c r="FY35">
        <v>67</v>
      </c>
      <c r="GA35" t="s">
        <v>6</v>
      </c>
      <c r="GD35">
        <v>0</v>
      </c>
      <c r="GF35">
        <v>2144161260</v>
      </c>
      <c r="GG35">
        <v>2</v>
      </c>
      <c r="GH35">
        <v>1</v>
      </c>
      <c r="GI35">
        <v>2</v>
      </c>
      <c r="GJ35">
        <v>0</v>
      </c>
      <c r="GK35">
        <f>ROUND(R35*(R12)/100,2)</f>
        <v>0</v>
      </c>
      <c r="GL35">
        <f>ROUND(IF(AND(BH35=3,BI35=3,FS35&lt;&gt;0),P35,0),2)</f>
        <v>0</v>
      </c>
      <c r="GM35">
        <f>ROUND(O35+X35+Y35+GK35,2)+GX35</f>
        <v>9829.69</v>
      </c>
      <c r="GN35">
        <f>IF(OR(BI35=0,BI35=1),ROUND(O35+X35+Y35+GK35,2),0)</f>
        <v>9829.69</v>
      </c>
      <c r="GO35">
        <f>IF(BI35=2,ROUND(O35+X35+Y35+GK35,2),0)</f>
        <v>0</v>
      </c>
      <c r="GP35">
        <f>IF(BI35=4,ROUND(O35+X35+Y35+GK35,2)+GX35,0)</f>
        <v>0</v>
      </c>
      <c r="GR35">
        <v>0</v>
      </c>
      <c r="GS35">
        <v>0</v>
      </c>
      <c r="GT35">
        <v>0</v>
      </c>
      <c r="GU35" t="s">
        <v>6</v>
      </c>
      <c r="GV35">
        <f>ROUND((GT35),6)</f>
        <v>0</v>
      </c>
      <c r="GW35">
        <v>1</v>
      </c>
      <c r="GX35">
        <f>ROUND(HC35*I35,2)</f>
        <v>0</v>
      </c>
      <c r="HA35">
        <v>0</v>
      </c>
      <c r="HB35">
        <v>0</v>
      </c>
      <c r="HC35">
        <f>GV35*GW35</f>
        <v>0</v>
      </c>
      <c r="IK35">
        <v>0</v>
      </c>
    </row>
    <row r="36" spans="1:245" x14ac:dyDescent="0.2">
      <c r="A36">
        <v>19</v>
      </c>
      <c r="B36">
        <v>1</v>
      </c>
      <c r="F36" t="s">
        <v>6</v>
      </c>
      <c r="G36" t="s">
        <v>55</v>
      </c>
      <c r="H36" t="s">
        <v>6</v>
      </c>
      <c r="AA36">
        <v>1</v>
      </c>
      <c r="IK36">
        <v>0</v>
      </c>
    </row>
    <row r="37" spans="1:245" x14ac:dyDescent="0.2">
      <c r="A37">
        <v>17</v>
      </c>
      <c r="B37">
        <v>1</v>
      </c>
      <c r="C37">
        <f>ROW(SmtRes!A8)</f>
        <v>8</v>
      </c>
      <c r="D37">
        <f>ROW(EtalonRes!A6)</f>
        <v>6</v>
      </c>
      <c r="E37" t="s">
        <v>56</v>
      </c>
      <c r="F37" t="s">
        <v>57</v>
      </c>
      <c r="G37" t="s">
        <v>58</v>
      </c>
      <c r="H37" t="s">
        <v>59</v>
      </c>
      <c r="I37">
        <v>1</v>
      </c>
      <c r="J37">
        <v>0</v>
      </c>
      <c r="O37">
        <f t="shared" ref="O37:O43" si="32">ROUND(CP37,2)</f>
        <v>8086.67</v>
      </c>
      <c r="P37">
        <f t="shared" ref="P37:P43" si="33">ROUND((ROUND((AC37*AW37*I37),2)*BC37),2)</f>
        <v>0</v>
      </c>
      <c r="Q37">
        <f t="shared" ref="Q37:Q43" si="34">(ROUND((ROUND(((ET37)*AV37*I37),2)*BB37),2)+ROUND((ROUND(((AE37-(EU37))*AV37*I37),2)*BS37),2))</f>
        <v>7916.73</v>
      </c>
      <c r="R37">
        <f t="shared" ref="R37:R43" si="35">ROUND((ROUND((AE37*AV37*I37),2)*BS37),2)</f>
        <v>1315.37</v>
      </c>
      <c r="S37">
        <f t="shared" ref="S37:S43" si="36">ROUND((ROUND((AF37*AV37*I37),2)*BA37),2)</f>
        <v>169.94</v>
      </c>
      <c r="T37">
        <f t="shared" ref="T37:T43" si="37">ROUND(CU37*I37,2)</f>
        <v>0</v>
      </c>
      <c r="U37">
        <f t="shared" ref="U37:U43" si="38">CV37*I37</f>
        <v>0.62819999999999998</v>
      </c>
      <c r="V37">
        <f t="shared" ref="V37:V43" si="39">CW37*I37</f>
        <v>0</v>
      </c>
      <c r="W37">
        <f t="shared" ref="W37:W43" si="40">ROUND(CX37*I37,2)</f>
        <v>0</v>
      </c>
      <c r="X37">
        <f t="shared" ref="X37:Y43" si="41">ROUND(CY37,2)</f>
        <v>202.23</v>
      </c>
      <c r="Y37">
        <f t="shared" si="41"/>
        <v>127.46</v>
      </c>
      <c r="AA37">
        <v>44175489</v>
      </c>
      <c r="AB37">
        <f t="shared" ref="AB37:AB43" si="42">ROUND((AC37+AD37+AF37),6)</f>
        <v>1245.1099999999999</v>
      </c>
      <c r="AC37">
        <f t="shared" ref="AC37:AC43" si="43">ROUND((ES37),6)</f>
        <v>0</v>
      </c>
      <c r="AD37">
        <f t="shared" ref="AD37:AD43" si="44">ROUND((((ET37)-(EU37))+AE37),6)</f>
        <v>1237.54</v>
      </c>
      <c r="AE37">
        <f t="shared" ref="AE37:AF43" si="45">ROUND((EU37),6)</f>
        <v>58.62</v>
      </c>
      <c r="AF37">
        <f t="shared" si="45"/>
        <v>7.57</v>
      </c>
      <c r="AG37">
        <f t="shared" ref="AG37:AG43" si="46">ROUND((AP37),6)</f>
        <v>0</v>
      </c>
      <c r="AH37">
        <f t="shared" ref="AH37:AI43" si="47">(EW37)</f>
        <v>0.6</v>
      </c>
      <c r="AI37">
        <f t="shared" si="47"/>
        <v>0</v>
      </c>
      <c r="AJ37">
        <f t="shared" ref="AJ37:AJ43" si="48">(AS37)</f>
        <v>0</v>
      </c>
      <c r="AK37">
        <v>1245.1099999999999</v>
      </c>
      <c r="AL37">
        <v>0</v>
      </c>
      <c r="AM37">
        <v>1237.54</v>
      </c>
      <c r="AN37">
        <v>58.62</v>
      </c>
      <c r="AO37">
        <v>7.57</v>
      </c>
      <c r="AP37">
        <v>0</v>
      </c>
      <c r="AQ37">
        <v>0.6</v>
      </c>
      <c r="AR37">
        <v>0</v>
      </c>
      <c r="AS37">
        <v>0</v>
      </c>
      <c r="AT37">
        <v>119</v>
      </c>
      <c r="AU37">
        <v>75</v>
      </c>
      <c r="AV37">
        <v>1.0469999999999999</v>
      </c>
      <c r="AW37">
        <v>1.079</v>
      </c>
      <c r="AZ37">
        <v>1</v>
      </c>
      <c r="BA37">
        <v>21.43</v>
      </c>
      <c r="BB37">
        <v>6.11</v>
      </c>
      <c r="BC37">
        <v>1</v>
      </c>
      <c r="BD37" t="s">
        <v>6</v>
      </c>
      <c r="BE37" t="s">
        <v>6</v>
      </c>
      <c r="BF37" t="s">
        <v>6</v>
      </c>
      <c r="BG37" t="s">
        <v>6</v>
      </c>
      <c r="BH37">
        <v>0</v>
      </c>
      <c r="BI37">
        <v>1</v>
      </c>
      <c r="BJ37" t="s">
        <v>60</v>
      </c>
      <c r="BM37">
        <v>1987</v>
      </c>
      <c r="BN37">
        <v>0</v>
      </c>
      <c r="BO37" t="s">
        <v>57</v>
      </c>
      <c r="BP37">
        <v>1</v>
      </c>
      <c r="BQ37">
        <v>30</v>
      </c>
      <c r="BR37">
        <v>0</v>
      </c>
      <c r="BS37">
        <v>21.43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6</v>
      </c>
      <c r="BZ37">
        <v>119</v>
      </c>
      <c r="CA37">
        <v>75</v>
      </c>
      <c r="CE37">
        <v>30</v>
      </c>
      <c r="CF37">
        <v>0</v>
      </c>
      <c r="CG37">
        <v>0</v>
      </c>
      <c r="CM37">
        <v>0</v>
      </c>
      <c r="CN37" t="s">
        <v>6</v>
      </c>
      <c r="CO37">
        <v>0</v>
      </c>
      <c r="CP37">
        <f t="shared" ref="CP37:CP43" si="49">(P37+Q37+S37)</f>
        <v>8086.6699999999992</v>
      </c>
      <c r="CQ37">
        <f t="shared" ref="CQ37:CQ43" si="50">ROUND((ROUND((AC37*AW37*1),2)*BC37),2)</f>
        <v>0</v>
      </c>
      <c r="CR37">
        <f t="shared" ref="CR37:CR43" si="51">(ROUND((ROUND(((ET37)*AV37*1),2)*BB37),2)+ROUND((ROUND(((AE37-(EU37))*AV37*1),2)*BS37),2))</f>
        <v>7916.73</v>
      </c>
      <c r="CS37">
        <f t="shared" ref="CS37:CS43" si="52">ROUND((ROUND((AE37*AV37*1),2)*BS37),2)</f>
        <v>1315.37</v>
      </c>
      <c r="CT37">
        <f t="shared" ref="CT37:CT43" si="53">ROUND((ROUND((AF37*AV37*1),2)*BA37),2)</f>
        <v>169.94</v>
      </c>
      <c r="CU37">
        <f t="shared" ref="CU37:CU43" si="54">AG37</f>
        <v>0</v>
      </c>
      <c r="CV37">
        <f t="shared" ref="CV37:CV43" si="55">(AH37*AV37)</f>
        <v>0.62819999999999998</v>
      </c>
      <c r="CW37">
        <f t="shared" ref="CW37:CX43" si="56">AI37</f>
        <v>0</v>
      </c>
      <c r="CX37">
        <f t="shared" si="56"/>
        <v>0</v>
      </c>
      <c r="CY37">
        <f t="shared" ref="CY37:CY43" si="57">S37*(BZ37/100)</f>
        <v>202.2286</v>
      </c>
      <c r="CZ37">
        <f t="shared" ref="CZ37:CZ43" si="58">S37*(CA37/100)</f>
        <v>127.455</v>
      </c>
      <c r="DC37" t="s">
        <v>6</v>
      </c>
      <c r="DD37" t="s">
        <v>6</v>
      </c>
      <c r="DE37" t="s">
        <v>6</v>
      </c>
      <c r="DF37" t="s">
        <v>6</v>
      </c>
      <c r="DG37" t="s">
        <v>6</v>
      </c>
      <c r="DH37" t="s">
        <v>6</v>
      </c>
      <c r="DI37" t="s">
        <v>6</v>
      </c>
      <c r="DJ37" t="s">
        <v>6</v>
      </c>
      <c r="DK37" t="s">
        <v>6</v>
      </c>
      <c r="DL37" t="s">
        <v>6</v>
      </c>
      <c r="DM37" t="s">
        <v>6</v>
      </c>
      <c r="DN37">
        <v>149</v>
      </c>
      <c r="DO37">
        <v>158</v>
      </c>
      <c r="DP37">
        <v>1.0469999999999999</v>
      </c>
      <c r="DQ37">
        <v>1.079</v>
      </c>
      <c r="DU37">
        <v>1013</v>
      </c>
      <c r="DV37" t="s">
        <v>59</v>
      </c>
      <c r="DW37" t="s">
        <v>59</v>
      </c>
      <c r="DX37">
        <v>1</v>
      </c>
      <c r="EE37">
        <v>44065808</v>
      </c>
      <c r="EF37">
        <v>30</v>
      </c>
      <c r="EG37" t="s">
        <v>29</v>
      </c>
      <c r="EH37">
        <v>0</v>
      </c>
      <c r="EI37" t="s">
        <v>6</v>
      </c>
      <c r="EJ37">
        <v>1</v>
      </c>
      <c r="EK37">
        <v>1987</v>
      </c>
      <c r="EL37" t="s">
        <v>61</v>
      </c>
      <c r="EM37" t="s">
        <v>62</v>
      </c>
      <c r="EO37" t="s">
        <v>6</v>
      </c>
      <c r="EQ37">
        <v>131072</v>
      </c>
      <c r="ER37">
        <v>1245.1099999999999</v>
      </c>
      <c r="ES37">
        <v>0</v>
      </c>
      <c r="ET37">
        <v>1237.54</v>
      </c>
      <c r="EU37">
        <v>58.62</v>
      </c>
      <c r="EV37">
        <v>7.57</v>
      </c>
      <c r="EW37">
        <v>0.6</v>
      </c>
      <c r="EX37">
        <v>0</v>
      </c>
      <c r="EY37">
        <v>0</v>
      </c>
      <c r="FQ37">
        <v>0</v>
      </c>
      <c r="FR37">
        <f t="shared" ref="FR37:FR43" si="59">ROUND(IF(AND(BH37=3,BI37=3),P37,0),2)</f>
        <v>0</v>
      </c>
      <c r="FS37">
        <v>0</v>
      </c>
      <c r="FX37">
        <v>149</v>
      </c>
      <c r="FY37">
        <v>158</v>
      </c>
      <c r="GA37" t="s">
        <v>6</v>
      </c>
      <c r="GD37">
        <v>0</v>
      </c>
      <c r="GF37">
        <v>116028939</v>
      </c>
      <c r="GG37">
        <v>2</v>
      </c>
      <c r="GH37">
        <v>1</v>
      </c>
      <c r="GI37">
        <v>2</v>
      </c>
      <c r="GJ37">
        <v>0</v>
      </c>
      <c r="GK37">
        <f>ROUND(R37*(R12)/100,2)</f>
        <v>2065.13</v>
      </c>
      <c r="GL37">
        <f t="shared" ref="GL37:GL43" si="60">ROUND(IF(AND(BH37=3,BI37=3,FS37&lt;&gt;0),P37,0),2)</f>
        <v>0</v>
      </c>
      <c r="GM37">
        <f t="shared" ref="GM37:GM43" si="61">ROUND(O37+X37+Y37+GK37,2)+GX37</f>
        <v>10481.49</v>
      </c>
      <c r="GN37">
        <f t="shared" ref="GN37:GN43" si="62">IF(OR(BI37=0,BI37=1),ROUND(O37+X37+Y37+GK37,2),0)</f>
        <v>10481.49</v>
      </c>
      <c r="GO37">
        <f t="shared" ref="GO37:GO43" si="63">IF(BI37=2,ROUND(O37+X37+Y37+GK37,2),0)</f>
        <v>0</v>
      </c>
      <c r="GP37">
        <f t="shared" ref="GP37:GP43" si="64">IF(BI37=4,ROUND(O37+X37+Y37+GK37,2)+GX37,0)</f>
        <v>0</v>
      </c>
      <c r="GR37">
        <v>0</v>
      </c>
      <c r="GS37">
        <v>0</v>
      </c>
      <c r="GT37">
        <v>0</v>
      </c>
      <c r="GU37" t="s">
        <v>6</v>
      </c>
      <c r="GV37">
        <f t="shared" ref="GV37:GV43" si="65">ROUND((GT37),6)</f>
        <v>0</v>
      </c>
      <c r="GW37">
        <v>1</v>
      </c>
      <c r="GX37">
        <f t="shared" ref="GX37:GX43" si="66">ROUND(HC37*I37,2)</f>
        <v>0</v>
      </c>
      <c r="HA37">
        <v>0</v>
      </c>
      <c r="HB37">
        <v>0</v>
      </c>
      <c r="HC37">
        <f t="shared" ref="HC37:HC43" si="67">GV37*GW37</f>
        <v>0</v>
      </c>
      <c r="IK37">
        <v>0</v>
      </c>
    </row>
    <row r="38" spans="1:245" x14ac:dyDescent="0.2">
      <c r="A38">
        <v>17</v>
      </c>
      <c r="B38">
        <v>1</v>
      </c>
      <c r="C38">
        <f>ROW(SmtRes!A23)</f>
        <v>23</v>
      </c>
      <c r="D38">
        <f>ROW(EtalonRes!A21)</f>
        <v>21</v>
      </c>
      <c r="E38" t="s">
        <v>63</v>
      </c>
      <c r="F38" t="s">
        <v>64</v>
      </c>
      <c r="G38" t="s">
        <v>65</v>
      </c>
      <c r="H38" t="s">
        <v>66</v>
      </c>
      <c r="I38">
        <v>62</v>
      </c>
      <c r="J38">
        <v>0</v>
      </c>
      <c r="O38">
        <f t="shared" si="32"/>
        <v>867382.57</v>
      </c>
      <c r="P38">
        <f t="shared" si="33"/>
        <v>10044.459999999999</v>
      </c>
      <c r="Q38">
        <f t="shared" si="34"/>
        <v>814811.99</v>
      </c>
      <c r="R38">
        <f t="shared" si="35"/>
        <v>154760.6</v>
      </c>
      <c r="S38">
        <f t="shared" si="36"/>
        <v>42526.12</v>
      </c>
      <c r="T38">
        <f t="shared" si="37"/>
        <v>0</v>
      </c>
      <c r="U38">
        <f t="shared" si="38"/>
        <v>144.10907999999998</v>
      </c>
      <c r="V38">
        <f t="shared" si="39"/>
        <v>0</v>
      </c>
      <c r="W38">
        <f t="shared" si="40"/>
        <v>0</v>
      </c>
      <c r="X38">
        <f t="shared" si="41"/>
        <v>50606.080000000002</v>
      </c>
      <c r="Y38">
        <f t="shared" si="41"/>
        <v>31894.59</v>
      </c>
      <c r="AA38">
        <v>44175489</v>
      </c>
      <c r="AB38">
        <f t="shared" si="42"/>
        <v>2071.63</v>
      </c>
      <c r="AC38">
        <f t="shared" si="43"/>
        <v>35.92</v>
      </c>
      <c r="AD38">
        <f t="shared" si="44"/>
        <v>2005.14</v>
      </c>
      <c r="AE38">
        <f t="shared" si="45"/>
        <v>111.25</v>
      </c>
      <c r="AF38">
        <f t="shared" si="45"/>
        <v>30.57</v>
      </c>
      <c r="AG38">
        <f t="shared" si="46"/>
        <v>0</v>
      </c>
      <c r="AH38">
        <f t="shared" si="47"/>
        <v>2.2200000000000002</v>
      </c>
      <c r="AI38">
        <f t="shared" si="47"/>
        <v>0</v>
      </c>
      <c r="AJ38">
        <f t="shared" si="48"/>
        <v>0</v>
      </c>
      <c r="AK38">
        <v>2071.63</v>
      </c>
      <c r="AL38">
        <v>35.92</v>
      </c>
      <c r="AM38">
        <v>2005.14</v>
      </c>
      <c r="AN38">
        <v>111.25</v>
      </c>
      <c r="AO38">
        <v>30.57</v>
      </c>
      <c r="AP38">
        <v>0</v>
      </c>
      <c r="AQ38">
        <v>2.2200000000000002</v>
      </c>
      <c r="AR38">
        <v>0</v>
      </c>
      <c r="AS38">
        <v>0</v>
      </c>
      <c r="AT38">
        <v>119</v>
      </c>
      <c r="AU38">
        <v>75</v>
      </c>
      <c r="AV38">
        <v>1.0469999999999999</v>
      </c>
      <c r="AW38">
        <v>1.079</v>
      </c>
      <c r="AZ38">
        <v>1</v>
      </c>
      <c r="BA38">
        <v>21.43</v>
      </c>
      <c r="BB38">
        <v>6.26</v>
      </c>
      <c r="BC38">
        <v>4.18</v>
      </c>
      <c r="BD38" t="s">
        <v>6</v>
      </c>
      <c r="BE38" t="s">
        <v>6</v>
      </c>
      <c r="BF38" t="s">
        <v>6</v>
      </c>
      <c r="BG38" t="s">
        <v>6</v>
      </c>
      <c r="BH38">
        <v>0</v>
      </c>
      <c r="BI38">
        <v>1</v>
      </c>
      <c r="BJ38" t="s">
        <v>67</v>
      </c>
      <c r="BM38">
        <v>1989</v>
      </c>
      <c r="BN38">
        <v>0</v>
      </c>
      <c r="BO38" t="s">
        <v>64</v>
      </c>
      <c r="BP38">
        <v>1</v>
      </c>
      <c r="BQ38">
        <v>30</v>
      </c>
      <c r="BR38">
        <v>0</v>
      </c>
      <c r="BS38">
        <v>21.43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6</v>
      </c>
      <c r="BZ38">
        <v>119</v>
      </c>
      <c r="CA38">
        <v>75</v>
      </c>
      <c r="CE38">
        <v>30</v>
      </c>
      <c r="CF38">
        <v>0</v>
      </c>
      <c r="CG38">
        <v>0</v>
      </c>
      <c r="CM38">
        <v>0</v>
      </c>
      <c r="CN38" t="s">
        <v>6</v>
      </c>
      <c r="CO38">
        <v>0</v>
      </c>
      <c r="CP38">
        <f t="shared" si="49"/>
        <v>867382.57</v>
      </c>
      <c r="CQ38">
        <f t="shared" si="50"/>
        <v>162.02000000000001</v>
      </c>
      <c r="CR38">
        <f t="shared" si="51"/>
        <v>13142.12</v>
      </c>
      <c r="CS38">
        <f t="shared" si="52"/>
        <v>2496.17</v>
      </c>
      <c r="CT38">
        <f t="shared" si="53"/>
        <v>685.97</v>
      </c>
      <c r="CU38">
        <f t="shared" si="54"/>
        <v>0</v>
      </c>
      <c r="CV38">
        <f t="shared" si="55"/>
        <v>2.3243399999999999</v>
      </c>
      <c r="CW38">
        <f t="shared" si="56"/>
        <v>0</v>
      </c>
      <c r="CX38">
        <f t="shared" si="56"/>
        <v>0</v>
      </c>
      <c r="CY38">
        <f t="shared" si="57"/>
        <v>50606.082800000004</v>
      </c>
      <c r="CZ38">
        <f t="shared" si="58"/>
        <v>31894.590000000004</v>
      </c>
      <c r="DC38" t="s">
        <v>6</v>
      </c>
      <c r="DD38" t="s">
        <v>6</v>
      </c>
      <c r="DE38" t="s">
        <v>6</v>
      </c>
      <c r="DF38" t="s">
        <v>6</v>
      </c>
      <c r="DG38" t="s">
        <v>6</v>
      </c>
      <c r="DH38" t="s">
        <v>6</v>
      </c>
      <c r="DI38" t="s">
        <v>6</v>
      </c>
      <c r="DJ38" t="s">
        <v>6</v>
      </c>
      <c r="DK38" t="s">
        <v>6</v>
      </c>
      <c r="DL38" t="s">
        <v>6</v>
      </c>
      <c r="DM38" t="s">
        <v>6</v>
      </c>
      <c r="DN38">
        <v>149</v>
      </c>
      <c r="DO38">
        <v>158</v>
      </c>
      <c r="DP38">
        <v>1.0469999999999999</v>
      </c>
      <c r="DQ38">
        <v>1.079</v>
      </c>
      <c r="DU38">
        <v>1013</v>
      </c>
      <c r="DV38" t="s">
        <v>66</v>
      </c>
      <c r="DW38" t="s">
        <v>66</v>
      </c>
      <c r="DX38">
        <v>1</v>
      </c>
      <c r="EE38">
        <v>44065810</v>
      </c>
      <c r="EF38">
        <v>30</v>
      </c>
      <c r="EG38" t="s">
        <v>29</v>
      </c>
      <c r="EH38">
        <v>0</v>
      </c>
      <c r="EI38" t="s">
        <v>6</v>
      </c>
      <c r="EJ38">
        <v>1</v>
      </c>
      <c r="EK38">
        <v>1989</v>
      </c>
      <c r="EL38" t="s">
        <v>68</v>
      </c>
      <c r="EM38" t="s">
        <v>69</v>
      </c>
      <c r="EO38" t="s">
        <v>6</v>
      </c>
      <c r="EQ38">
        <v>131072</v>
      </c>
      <c r="ER38">
        <v>2071.63</v>
      </c>
      <c r="ES38">
        <v>35.92</v>
      </c>
      <c r="ET38">
        <v>2005.14</v>
      </c>
      <c r="EU38">
        <v>111.25</v>
      </c>
      <c r="EV38">
        <v>30.57</v>
      </c>
      <c r="EW38">
        <v>2.2200000000000002</v>
      </c>
      <c r="EX38">
        <v>0</v>
      </c>
      <c r="EY38">
        <v>0</v>
      </c>
      <c r="FQ38">
        <v>0</v>
      </c>
      <c r="FR38">
        <f t="shared" si="59"/>
        <v>0</v>
      </c>
      <c r="FS38">
        <v>0</v>
      </c>
      <c r="FX38">
        <v>149</v>
      </c>
      <c r="FY38">
        <v>158</v>
      </c>
      <c r="GA38" t="s">
        <v>6</v>
      </c>
      <c r="GD38">
        <v>0</v>
      </c>
      <c r="GF38">
        <v>1035110979</v>
      </c>
      <c r="GG38">
        <v>2</v>
      </c>
      <c r="GH38">
        <v>1</v>
      </c>
      <c r="GI38">
        <v>2</v>
      </c>
      <c r="GJ38">
        <v>0</v>
      </c>
      <c r="GK38">
        <f>ROUND(R38*(R12)/100,2)</f>
        <v>242974.14</v>
      </c>
      <c r="GL38">
        <f t="shared" si="60"/>
        <v>0</v>
      </c>
      <c r="GM38">
        <f t="shared" si="61"/>
        <v>1192857.3799999999</v>
      </c>
      <c r="GN38">
        <f t="shared" si="62"/>
        <v>1192857.3799999999</v>
      </c>
      <c r="GO38">
        <f t="shared" si="63"/>
        <v>0</v>
      </c>
      <c r="GP38">
        <f t="shared" si="64"/>
        <v>0</v>
      </c>
      <c r="GR38">
        <v>0</v>
      </c>
      <c r="GS38">
        <v>0</v>
      </c>
      <c r="GT38">
        <v>0</v>
      </c>
      <c r="GU38" t="s">
        <v>6</v>
      </c>
      <c r="GV38">
        <f t="shared" si="65"/>
        <v>0</v>
      </c>
      <c r="GW38">
        <v>1</v>
      </c>
      <c r="GX38">
        <f t="shared" si="66"/>
        <v>0</v>
      </c>
      <c r="HA38">
        <v>0</v>
      </c>
      <c r="HB38">
        <v>0</v>
      </c>
      <c r="HC38">
        <f t="shared" si="67"/>
        <v>0</v>
      </c>
      <c r="IK38">
        <v>0</v>
      </c>
    </row>
    <row r="39" spans="1:245" x14ac:dyDescent="0.2">
      <c r="A39">
        <v>18</v>
      </c>
      <c r="B39">
        <v>1</v>
      </c>
      <c r="C39">
        <v>20</v>
      </c>
      <c r="E39" t="s">
        <v>70</v>
      </c>
      <c r="F39" t="s">
        <v>71</v>
      </c>
      <c r="G39" t="s">
        <v>72</v>
      </c>
      <c r="H39" t="s">
        <v>73</v>
      </c>
      <c r="I39">
        <f>I38*J39</f>
        <v>11110.4</v>
      </c>
      <c r="J39">
        <v>179.2</v>
      </c>
      <c r="O39">
        <f t="shared" si="32"/>
        <v>544572.4</v>
      </c>
      <c r="P39">
        <f t="shared" si="33"/>
        <v>544572.4</v>
      </c>
      <c r="Q39">
        <f t="shared" si="34"/>
        <v>0</v>
      </c>
      <c r="R39">
        <f t="shared" si="35"/>
        <v>0</v>
      </c>
      <c r="S39">
        <f t="shared" si="36"/>
        <v>0</v>
      </c>
      <c r="T39">
        <f t="shared" si="37"/>
        <v>0</v>
      </c>
      <c r="U39">
        <f t="shared" si="38"/>
        <v>0</v>
      </c>
      <c r="V39">
        <f t="shared" si="39"/>
        <v>0</v>
      </c>
      <c r="W39">
        <f t="shared" si="40"/>
        <v>0</v>
      </c>
      <c r="X39">
        <f t="shared" si="41"/>
        <v>0</v>
      </c>
      <c r="Y39">
        <f t="shared" si="41"/>
        <v>0</v>
      </c>
      <c r="AA39">
        <v>44175489</v>
      </c>
      <c r="AB39">
        <f t="shared" si="42"/>
        <v>11.3</v>
      </c>
      <c r="AC39">
        <f t="shared" si="43"/>
        <v>11.3</v>
      </c>
      <c r="AD39">
        <f t="shared" si="44"/>
        <v>0</v>
      </c>
      <c r="AE39">
        <f t="shared" si="45"/>
        <v>0</v>
      </c>
      <c r="AF39">
        <f t="shared" si="45"/>
        <v>0</v>
      </c>
      <c r="AG39">
        <f t="shared" si="46"/>
        <v>0</v>
      </c>
      <c r="AH39">
        <f t="shared" si="47"/>
        <v>0</v>
      </c>
      <c r="AI39">
        <f t="shared" si="47"/>
        <v>0</v>
      </c>
      <c r="AJ39">
        <f t="shared" si="48"/>
        <v>0</v>
      </c>
      <c r="AK39">
        <v>11.3</v>
      </c>
      <c r="AL39">
        <v>11.3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1</v>
      </c>
      <c r="AW39">
        <v>1.079</v>
      </c>
      <c r="AZ39">
        <v>1</v>
      </c>
      <c r="BA39">
        <v>1</v>
      </c>
      <c r="BB39">
        <v>1</v>
      </c>
      <c r="BC39">
        <v>4.0199999999999996</v>
      </c>
      <c r="BD39" t="s">
        <v>6</v>
      </c>
      <c r="BE39" t="s">
        <v>6</v>
      </c>
      <c r="BF39" t="s">
        <v>6</v>
      </c>
      <c r="BG39" t="s">
        <v>6</v>
      </c>
      <c r="BH39">
        <v>3</v>
      </c>
      <c r="BI39">
        <v>1</v>
      </c>
      <c r="BJ39" t="s">
        <v>74</v>
      </c>
      <c r="BM39">
        <v>1989</v>
      </c>
      <c r="BN39">
        <v>0</v>
      </c>
      <c r="BO39" t="s">
        <v>71</v>
      </c>
      <c r="BP39">
        <v>1</v>
      </c>
      <c r="BQ39">
        <v>30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6</v>
      </c>
      <c r="BZ39">
        <v>0</v>
      </c>
      <c r="CA39">
        <v>0</v>
      </c>
      <c r="CE39">
        <v>30</v>
      </c>
      <c r="CF39">
        <v>0</v>
      </c>
      <c r="CG39">
        <v>0</v>
      </c>
      <c r="CM39">
        <v>0</v>
      </c>
      <c r="CN39" t="s">
        <v>6</v>
      </c>
      <c r="CO39">
        <v>0</v>
      </c>
      <c r="CP39">
        <f t="shared" si="49"/>
        <v>544572.4</v>
      </c>
      <c r="CQ39">
        <f t="shared" si="50"/>
        <v>49</v>
      </c>
      <c r="CR39">
        <f t="shared" si="51"/>
        <v>0</v>
      </c>
      <c r="CS39">
        <f t="shared" si="52"/>
        <v>0</v>
      </c>
      <c r="CT39">
        <f t="shared" si="53"/>
        <v>0</v>
      </c>
      <c r="CU39">
        <f t="shared" si="54"/>
        <v>0</v>
      </c>
      <c r="CV39">
        <f t="shared" si="55"/>
        <v>0</v>
      </c>
      <c r="CW39">
        <f t="shared" si="56"/>
        <v>0</v>
      </c>
      <c r="CX39">
        <f t="shared" si="56"/>
        <v>0</v>
      </c>
      <c r="CY39">
        <f t="shared" si="57"/>
        <v>0</v>
      </c>
      <c r="CZ39">
        <f t="shared" si="58"/>
        <v>0</v>
      </c>
      <c r="DC39" t="s">
        <v>6</v>
      </c>
      <c r="DD39" t="s">
        <v>6</v>
      </c>
      <c r="DE39" t="s">
        <v>6</v>
      </c>
      <c r="DF39" t="s">
        <v>6</v>
      </c>
      <c r="DG39" t="s">
        <v>6</v>
      </c>
      <c r="DH39" t="s">
        <v>6</v>
      </c>
      <c r="DI39" t="s">
        <v>6</v>
      </c>
      <c r="DJ39" t="s">
        <v>6</v>
      </c>
      <c r="DK39" t="s">
        <v>6</v>
      </c>
      <c r="DL39" t="s">
        <v>6</v>
      </c>
      <c r="DM39" t="s">
        <v>6</v>
      </c>
      <c r="DN39">
        <v>149</v>
      </c>
      <c r="DO39">
        <v>158</v>
      </c>
      <c r="DP39">
        <v>1.0469999999999999</v>
      </c>
      <c r="DQ39">
        <v>1.079</v>
      </c>
      <c r="DU39">
        <v>1009</v>
      </c>
      <c r="DV39" t="s">
        <v>73</v>
      </c>
      <c r="DW39" t="s">
        <v>73</v>
      </c>
      <c r="DX39">
        <v>1</v>
      </c>
      <c r="EE39">
        <v>44065810</v>
      </c>
      <c r="EF39">
        <v>30</v>
      </c>
      <c r="EG39" t="s">
        <v>29</v>
      </c>
      <c r="EH39">
        <v>0</v>
      </c>
      <c r="EI39" t="s">
        <v>6</v>
      </c>
      <c r="EJ39">
        <v>1</v>
      </c>
      <c r="EK39">
        <v>1989</v>
      </c>
      <c r="EL39" t="s">
        <v>68</v>
      </c>
      <c r="EM39" t="s">
        <v>69</v>
      </c>
      <c r="EO39" t="s">
        <v>6</v>
      </c>
      <c r="EQ39">
        <v>0</v>
      </c>
      <c r="ER39">
        <v>11.3</v>
      </c>
      <c r="ES39">
        <v>11.3</v>
      </c>
      <c r="ET39">
        <v>0</v>
      </c>
      <c r="EU39">
        <v>0</v>
      </c>
      <c r="EV39">
        <v>0</v>
      </c>
      <c r="EW39">
        <v>0</v>
      </c>
      <c r="EX39">
        <v>0</v>
      </c>
      <c r="FQ39">
        <v>0</v>
      </c>
      <c r="FR39">
        <f t="shared" si="59"/>
        <v>0</v>
      </c>
      <c r="FS39">
        <v>0</v>
      </c>
      <c r="FX39">
        <v>149</v>
      </c>
      <c r="FY39">
        <v>158</v>
      </c>
      <c r="GA39" t="s">
        <v>6</v>
      </c>
      <c r="GD39">
        <v>0</v>
      </c>
      <c r="GF39">
        <v>185995085</v>
      </c>
      <c r="GG39">
        <v>2</v>
      </c>
      <c r="GH39">
        <v>1</v>
      </c>
      <c r="GI39">
        <v>2</v>
      </c>
      <c r="GJ39">
        <v>0</v>
      </c>
      <c r="GK39">
        <f>ROUND(R39*(R12)/100,2)</f>
        <v>0</v>
      </c>
      <c r="GL39">
        <f t="shared" si="60"/>
        <v>0</v>
      </c>
      <c r="GM39">
        <f t="shared" si="61"/>
        <v>544572.4</v>
      </c>
      <c r="GN39">
        <f t="shared" si="62"/>
        <v>544572.4</v>
      </c>
      <c r="GO39">
        <f t="shared" si="63"/>
        <v>0</v>
      </c>
      <c r="GP39">
        <f t="shared" si="64"/>
        <v>0</v>
      </c>
      <c r="GR39">
        <v>0</v>
      </c>
      <c r="GS39">
        <v>0</v>
      </c>
      <c r="GT39">
        <v>0</v>
      </c>
      <c r="GU39" t="s">
        <v>6</v>
      </c>
      <c r="GV39">
        <f t="shared" si="65"/>
        <v>0</v>
      </c>
      <c r="GW39">
        <v>1</v>
      </c>
      <c r="GX39">
        <f t="shared" si="66"/>
        <v>0</v>
      </c>
      <c r="HA39">
        <v>0</v>
      </c>
      <c r="HB39">
        <v>0</v>
      </c>
      <c r="HC39">
        <f t="shared" si="67"/>
        <v>0</v>
      </c>
      <c r="IK39">
        <v>0</v>
      </c>
    </row>
    <row r="40" spans="1:245" x14ac:dyDescent="0.2">
      <c r="A40">
        <v>18</v>
      </c>
      <c r="B40">
        <v>1</v>
      </c>
      <c r="C40">
        <v>23</v>
      </c>
      <c r="E40" t="s">
        <v>75</v>
      </c>
      <c r="F40" t="s">
        <v>76</v>
      </c>
      <c r="G40" t="s">
        <v>77</v>
      </c>
      <c r="H40" t="s">
        <v>78</v>
      </c>
      <c r="I40">
        <f>I38*J40</f>
        <v>192</v>
      </c>
      <c r="J40">
        <v>3.096774193548387</v>
      </c>
      <c r="O40">
        <f t="shared" si="32"/>
        <v>436486.32</v>
      </c>
      <c r="P40">
        <f t="shared" si="33"/>
        <v>436486.32</v>
      </c>
      <c r="Q40">
        <f t="shared" si="34"/>
        <v>0</v>
      </c>
      <c r="R40">
        <f t="shared" si="35"/>
        <v>0</v>
      </c>
      <c r="S40">
        <f t="shared" si="36"/>
        <v>0</v>
      </c>
      <c r="T40">
        <f t="shared" si="37"/>
        <v>0</v>
      </c>
      <c r="U40">
        <f t="shared" si="38"/>
        <v>0</v>
      </c>
      <c r="V40">
        <f t="shared" si="39"/>
        <v>0</v>
      </c>
      <c r="W40">
        <f t="shared" si="40"/>
        <v>0</v>
      </c>
      <c r="X40">
        <f t="shared" si="41"/>
        <v>0</v>
      </c>
      <c r="Y40">
        <f t="shared" si="41"/>
        <v>0</v>
      </c>
      <c r="AA40">
        <v>44175489</v>
      </c>
      <c r="AB40">
        <f t="shared" si="42"/>
        <v>707.02</v>
      </c>
      <c r="AC40">
        <f t="shared" si="43"/>
        <v>707.02</v>
      </c>
      <c r="AD40">
        <f t="shared" si="44"/>
        <v>0</v>
      </c>
      <c r="AE40">
        <f t="shared" si="45"/>
        <v>0</v>
      </c>
      <c r="AF40">
        <f t="shared" si="45"/>
        <v>0</v>
      </c>
      <c r="AG40">
        <f t="shared" si="46"/>
        <v>0</v>
      </c>
      <c r="AH40">
        <f t="shared" si="47"/>
        <v>0</v>
      </c>
      <c r="AI40">
        <f t="shared" si="47"/>
        <v>0</v>
      </c>
      <c r="AJ40">
        <f t="shared" si="48"/>
        <v>0</v>
      </c>
      <c r="AK40">
        <v>707.02</v>
      </c>
      <c r="AL40">
        <v>707.02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1.079</v>
      </c>
      <c r="AZ40">
        <v>1</v>
      </c>
      <c r="BA40">
        <v>1</v>
      </c>
      <c r="BB40">
        <v>1</v>
      </c>
      <c r="BC40">
        <v>2.98</v>
      </c>
      <c r="BD40" t="s">
        <v>6</v>
      </c>
      <c r="BE40" t="s">
        <v>6</v>
      </c>
      <c r="BF40" t="s">
        <v>6</v>
      </c>
      <c r="BG40" t="s">
        <v>6</v>
      </c>
      <c r="BH40">
        <v>3</v>
      </c>
      <c r="BI40">
        <v>1</v>
      </c>
      <c r="BJ40" t="s">
        <v>79</v>
      </c>
      <c r="BM40">
        <v>1989</v>
      </c>
      <c r="BN40">
        <v>0</v>
      </c>
      <c r="BO40" t="s">
        <v>76</v>
      </c>
      <c r="BP40">
        <v>1</v>
      </c>
      <c r="BQ40">
        <v>30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6</v>
      </c>
      <c r="BZ40">
        <v>0</v>
      </c>
      <c r="CA40">
        <v>0</v>
      </c>
      <c r="CE40">
        <v>30</v>
      </c>
      <c r="CF40">
        <v>0</v>
      </c>
      <c r="CG40">
        <v>0</v>
      </c>
      <c r="CM40">
        <v>0</v>
      </c>
      <c r="CN40" t="s">
        <v>6</v>
      </c>
      <c r="CO40">
        <v>0</v>
      </c>
      <c r="CP40">
        <f t="shared" si="49"/>
        <v>436486.32</v>
      </c>
      <c r="CQ40">
        <f t="shared" si="50"/>
        <v>2273.35</v>
      </c>
      <c r="CR40">
        <f t="shared" si="51"/>
        <v>0</v>
      </c>
      <c r="CS40">
        <f t="shared" si="52"/>
        <v>0</v>
      </c>
      <c r="CT40">
        <f t="shared" si="53"/>
        <v>0</v>
      </c>
      <c r="CU40">
        <f t="shared" si="54"/>
        <v>0</v>
      </c>
      <c r="CV40">
        <f t="shared" si="55"/>
        <v>0</v>
      </c>
      <c r="CW40">
        <f t="shared" si="56"/>
        <v>0</v>
      </c>
      <c r="CX40">
        <f t="shared" si="56"/>
        <v>0</v>
      </c>
      <c r="CY40">
        <f t="shared" si="57"/>
        <v>0</v>
      </c>
      <c r="CZ40">
        <f t="shared" si="58"/>
        <v>0</v>
      </c>
      <c r="DC40" t="s">
        <v>6</v>
      </c>
      <c r="DD40" t="s">
        <v>6</v>
      </c>
      <c r="DE40" t="s">
        <v>6</v>
      </c>
      <c r="DF40" t="s">
        <v>6</v>
      </c>
      <c r="DG40" t="s">
        <v>6</v>
      </c>
      <c r="DH40" t="s">
        <v>6</v>
      </c>
      <c r="DI40" t="s">
        <v>6</v>
      </c>
      <c r="DJ40" t="s">
        <v>6</v>
      </c>
      <c r="DK40" t="s">
        <v>6</v>
      </c>
      <c r="DL40" t="s">
        <v>6</v>
      </c>
      <c r="DM40" t="s">
        <v>6</v>
      </c>
      <c r="DN40">
        <v>149</v>
      </c>
      <c r="DO40">
        <v>158</v>
      </c>
      <c r="DP40">
        <v>1.0469999999999999</v>
      </c>
      <c r="DQ40">
        <v>1.079</v>
      </c>
      <c r="DU40">
        <v>1003</v>
      </c>
      <c r="DV40" t="s">
        <v>78</v>
      </c>
      <c r="DW40" t="s">
        <v>78</v>
      </c>
      <c r="DX40">
        <v>1</v>
      </c>
      <c r="EE40">
        <v>44065810</v>
      </c>
      <c r="EF40">
        <v>30</v>
      </c>
      <c r="EG40" t="s">
        <v>29</v>
      </c>
      <c r="EH40">
        <v>0</v>
      </c>
      <c r="EI40" t="s">
        <v>6</v>
      </c>
      <c r="EJ40">
        <v>1</v>
      </c>
      <c r="EK40">
        <v>1989</v>
      </c>
      <c r="EL40" t="s">
        <v>68</v>
      </c>
      <c r="EM40" t="s">
        <v>69</v>
      </c>
      <c r="EO40" t="s">
        <v>6</v>
      </c>
      <c r="EQ40">
        <v>0</v>
      </c>
      <c r="ER40">
        <v>707.02</v>
      </c>
      <c r="ES40">
        <v>707.02</v>
      </c>
      <c r="ET40">
        <v>0</v>
      </c>
      <c r="EU40">
        <v>0</v>
      </c>
      <c r="EV40">
        <v>0</v>
      </c>
      <c r="EW40">
        <v>0</v>
      </c>
      <c r="EX40">
        <v>0</v>
      </c>
      <c r="FQ40">
        <v>0</v>
      </c>
      <c r="FR40">
        <f t="shared" si="59"/>
        <v>0</v>
      </c>
      <c r="FS40">
        <v>0</v>
      </c>
      <c r="FX40">
        <v>149</v>
      </c>
      <c r="FY40">
        <v>158</v>
      </c>
      <c r="GA40" t="s">
        <v>6</v>
      </c>
      <c r="GD40">
        <v>0</v>
      </c>
      <c r="GF40">
        <v>-203233444</v>
      </c>
      <c r="GG40">
        <v>2</v>
      </c>
      <c r="GH40">
        <v>1</v>
      </c>
      <c r="GI40">
        <v>2</v>
      </c>
      <c r="GJ40">
        <v>0</v>
      </c>
      <c r="GK40">
        <f>ROUND(R40*(R12)/100,2)</f>
        <v>0</v>
      </c>
      <c r="GL40">
        <f t="shared" si="60"/>
        <v>0</v>
      </c>
      <c r="GM40">
        <f t="shared" si="61"/>
        <v>436486.32</v>
      </c>
      <c r="GN40">
        <f t="shared" si="62"/>
        <v>436486.32</v>
      </c>
      <c r="GO40">
        <f t="shared" si="63"/>
        <v>0</v>
      </c>
      <c r="GP40">
        <f t="shared" si="64"/>
        <v>0</v>
      </c>
      <c r="GR40">
        <v>0</v>
      </c>
      <c r="GS40">
        <v>3</v>
      </c>
      <c r="GT40">
        <v>0</v>
      </c>
      <c r="GU40" t="s">
        <v>6</v>
      </c>
      <c r="GV40">
        <f t="shared" si="65"/>
        <v>0</v>
      </c>
      <c r="GW40">
        <v>1</v>
      </c>
      <c r="GX40">
        <f t="shared" si="66"/>
        <v>0</v>
      </c>
      <c r="HA40">
        <v>0</v>
      </c>
      <c r="HB40">
        <v>0</v>
      </c>
      <c r="HC40">
        <f t="shared" si="67"/>
        <v>0</v>
      </c>
      <c r="IK40">
        <v>0</v>
      </c>
    </row>
    <row r="41" spans="1:245" x14ac:dyDescent="0.2">
      <c r="A41">
        <v>18</v>
      </c>
      <c r="B41">
        <v>1</v>
      </c>
      <c r="C41">
        <v>22</v>
      </c>
      <c r="E41" t="s">
        <v>80</v>
      </c>
      <c r="F41" t="s">
        <v>81</v>
      </c>
      <c r="G41" t="s">
        <v>82</v>
      </c>
      <c r="H41" t="s">
        <v>83</v>
      </c>
      <c r="I41">
        <f>I38*J41</f>
        <v>608.69119999999998</v>
      </c>
      <c r="J41">
        <v>9.8176000000000005</v>
      </c>
      <c r="O41">
        <f t="shared" si="32"/>
        <v>293767.06</v>
      </c>
      <c r="P41">
        <f t="shared" si="33"/>
        <v>293767.06</v>
      </c>
      <c r="Q41">
        <f t="shared" si="34"/>
        <v>0</v>
      </c>
      <c r="R41">
        <f t="shared" si="35"/>
        <v>0</v>
      </c>
      <c r="S41">
        <f t="shared" si="36"/>
        <v>0</v>
      </c>
      <c r="T41">
        <f t="shared" si="37"/>
        <v>0</v>
      </c>
      <c r="U41">
        <f t="shared" si="38"/>
        <v>0</v>
      </c>
      <c r="V41">
        <f t="shared" si="39"/>
        <v>0</v>
      </c>
      <c r="W41">
        <f t="shared" si="40"/>
        <v>0</v>
      </c>
      <c r="X41">
        <f t="shared" si="41"/>
        <v>0</v>
      </c>
      <c r="Y41">
        <f t="shared" si="41"/>
        <v>0</v>
      </c>
      <c r="AA41">
        <v>44175489</v>
      </c>
      <c r="AB41">
        <f t="shared" si="42"/>
        <v>95.37</v>
      </c>
      <c r="AC41">
        <f t="shared" si="43"/>
        <v>95.37</v>
      </c>
      <c r="AD41">
        <f t="shared" si="44"/>
        <v>0</v>
      </c>
      <c r="AE41">
        <f t="shared" si="45"/>
        <v>0</v>
      </c>
      <c r="AF41">
        <f t="shared" si="45"/>
        <v>0</v>
      </c>
      <c r="AG41">
        <f t="shared" si="46"/>
        <v>0</v>
      </c>
      <c r="AH41">
        <f t="shared" si="47"/>
        <v>0</v>
      </c>
      <c r="AI41">
        <f t="shared" si="47"/>
        <v>0</v>
      </c>
      <c r="AJ41">
        <f t="shared" si="48"/>
        <v>0</v>
      </c>
      <c r="AK41">
        <v>95.37</v>
      </c>
      <c r="AL41">
        <v>95.37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1</v>
      </c>
      <c r="AW41">
        <v>1.079</v>
      </c>
      <c r="AZ41">
        <v>1</v>
      </c>
      <c r="BA41">
        <v>1</v>
      </c>
      <c r="BB41">
        <v>1</v>
      </c>
      <c r="BC41">
        <v>4.6900000000000004</v>
      </c>
      <c r="BD41" t="s">
        <v>6</v>
      </c>
      <c r="BE41" t="s">
        <v>6</v>
      </c>
      <c r="BF41" t="s">
        <v>6</v>
      </c>
      <c r="BG41" t="s">
        <v>6</v>
      </c>
      <c r="BH41">
        <v>3</v>
      </c>
      <c r="BI41">
        <v>1</v>
      </c>
      <c r="BJ41" t="s">
        <v>84</v>
      </c>
      <c r="BM41">
        <v>1989</v>
      </c>
      <c r="BN41">
        <v>0</v>
      </c>
      <c r="BO41" t="s">
        <v>81</v>
      </c>
      <c r="BP41">
        <v>1</v>
      </c>
      <c r="BQ41">
        <v>30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6</v>
      </c>
      <c r="BZ41">
        <v>0</v>
      </c>
      <c r="CA41">
        <v>0</v>
      </c>
      <c r="CE41">
        <v>30</v>
      </c>
      <c r="CF41">
        <v>0</v>
      </c>
      <c r="CG41">
        <v>0</v>
      </c>
      <c r="CM41">
        <v>0</v>
      </c>
      <c r="CN41" t="s">
        <v>6</v>
      </c>
      <c r="CO41">
        <v>0</v>
      </c>
      <c r="CP41">
        <f t="shared" si="49"/>
        <v>293767.06</v>
      </c>
      <c r="CQ41">
        <f t="shared" si="50"/>
        <v>482.6</v>
      </c>
      <c r="CR41">
        <f t="shared" si="51"/>
        <v>0</v>
      </c>
      <c r="CS41">
        <f t="shared" si="52"/>
        <v>0</v>
      </c>
      <c r="CT41">
        <f t="shared" si="53"/>
        <v>0</v>
      </c>
      <c r="CU41">
        <f t="shared" si="54"/>
        <v>0</v>
      </c>
      <c r="CV41">
        <f t="shared" si="55"/>
        <v>0</v>
      </c>
      <c r="CW41">
        <f t="shared" si="56"/>
        <v>0</v>
      </c>
      <c r="CX41">
        <f t="shared" si="56"/>
        <v>0</v>
      </c>
      <c r="CY41">
        <f t="shared" si="57"/>
        <v>0</v>
      </c>
      <c r="CZ41">
        <f t="shared" si="58"/>
        <v>0</v>
      </c>
      <c r="DC41" t="s">
        <v>6</v>
      </c>
      <c r="DD41" t="s">
        <v>6</v>
      </c>
      <c r="DE41" t="s">
        <v>6</v>
      </c>
      <c r="DF41" t="s">
        <v>6</v>
      </c>
      <c r="DG41" t="s">
        <v>6</v>
      </c>
      <c r="DH41" t="s">
        <v>6</v>
      </c>
      <c r="DI41" t="s">
        <v>6</v>
      </c>
      <c r="DJ41" t="s">
        <v>6</v>
      </c>
      <c r="DK41" t="s">
        <v>6</v>
      </c>
      <c r="DL41" t="s">
        <v>6</v>
      </c>
      <c r="DM41" t="s">
        <v>6</v>
      </c>
      <c r="DN41">
        <v>149</v>
      </c>
      <c r="DO41">
        <v>158</v>
      </c>
      <c r="DP41">
        <v>1.0469999999999999</v>
      </c>
      <c r="DQ41">
        <v>1.079</v>
      </c>
      <c r="DU41">
        <v>1002</v>
      </c>
      <c r="DV41" t="s">
        <v>83</v>
      </c>
      <c r="DW41" t="s">
        <v>83</v>
      </c>
      <c r="DX41">
        <v>1</v>
      </c>
      <c r="EE41">
        <v>44065810</v>
      </c>
      <c r="EF41">
        <v>30</v>
      </c>
      <c r="EG41" t="s">
        <v>29</v>
      </c>
      <c r="EH41">
        <v>0</v>
      </c>
      <c r="EI41" t="s">
        <v>6</v>
      </c>
      <c r="EJ41">
        <v>1</v>
      </c>
      <c r="EK41">
        <v>1989</v>
      </c>
      <c r="EL41" t="s">
        <v>68</v>
      </c>
      <c r="EM41" t="s">
        <v>69</v>
      </c>
      <c r="EO41" t="s">
        <v>6</v>
      </c>
      <c r="EQ41">
        <v>0</v>
      </c>
      <c r="ER41">
        <v>95.37</v>
      </c>
      <c r="ES41">
        <v>95.37</v>
      </c>
      <c r="ET41">
        <v>0</v>
      </c>
      <c r="EU41">
        <v>0</v>
      </c>
      <c r="EV41">
        <v>0</v>
      </c>
      <c r="EW41">
        <v>0</v>
      </c>
      <c r="EX41">
        <v>0</v>
      </c>
      <c r="FQ41">
        <v>0</v>
      </c>
      <c r="FR41">
        <f t="shared" si="59"/>
        <v>0</v>
      </c>
      <c r="FS41">
        <v>0</v>
      </c>
      <c r="FX41">
        <v>149</v>
      </c>
      <c r="FY41">
        <v>158</v>
      </c>
      <c r="GA41" t="s">
        <v>6</v>
      </c>
      <c r="GD41">
        <v>0</v>
      </c>
      <c r="GF41">
        <v>-360054125</v>
      </c>
      <c r="GG41">
        <v>2</v>
      </c>
      <c r="GH41">
        <v>1</v>
      </c>
      <c r="GI41">
        <v>2</v>
      </c>
      <c r="GJ41">
        <v>0</v>
      </c>
      <c r="GK41">
        <f>ROUND(R41*(R12)/100,2)</f>
        <v>0</v>
      </c>
      <c r="GL41">
        <f t="shared" si="60"/>
        <v>0</v>
      </c>
      <c r="GM41">
        <f t="shared" si="61"/>
        <v>293767.06</v>
      </c>
      <c r="GN41">
        <f t="shared" si="62"/>
        <v>293767.06</v>
      </c>
      <c r="GO41">
        <f t="shared" si="63"/>
        <v>0</v>
      </c>
      <c r="GP41">
        <f t="shared" si="64"/>
        <v>0</v>
      </c>
      <c r="GR41">
        <v>0</v>
      </c>
      <c r="GS41">
        <v>0</v>
      </c>
      <c r="GT41">
        <v>0</v>
      </c>
      <c r="GU41" t="s">
        <v>6</v>
      </c>
      <c r="GV41">
        <f t="shared" si="65"/>
        <v>0</v>
      </c>
      <c r="GW41">
        <v>1</v>
      </c>
      <c r="GX41">
        <f t="shared" si="66"/>
        <v>0</v>
      </c>
      <c r="HA41">
        <v>0</v>
      </c>
      <c r="HB41">
        <v>0</v>
      </c>
      <c r="HC41">
        <f t="shared" si="67"/>
        <v>0</v>
      </c>
      <c r="IK41">
        <v>0</v>
      </c>
    </row>
    <row r="42" spans="1:245" x14ac:dyDescent="0.2">
      <c r="A42">
        <v>17</v>
      </c>
      <c r="B42">
        <v>1</v>
      </c>
      <c r="C42">
        <f>ROW(SmtRes!A24)</f>
        <v>24</v>
      </c>
      <c r="D42">
        <f>ROW(EtalonRes!A22)</f>
        <v>22</v>
      </c>
      <c r="E42" t="s">
        <v>85</v>
      </c>
      <c r="F42" t="s">
        <v>86</v>
      </c>
      <c r="G42" t="s">
        <v>87</v>
      </c>
      <c r="H42" t="s">
        <v>88</v>
      </c>
      <c r="I42">
        <v>15</v>
      </c>
      <c r="J42">
        <v>0</v>
      </c>
      <c r="O42">
        <f t="shared" si="32"/>
        <v>974.85</v>
      </c>
      <c r="P42">
        <f t="shared" si="33"/>
        <v>0</v>
      </c>
      <c r="Q42">
        <f t="shared" si="34"/>
        <v>974.85</v>
      </c>
      <c r="R42">
        <f t="shared" si="35"/>
        <v>198.87</v>
      </c>
      <c r="S42">
        <f t="shared" si="36"/>
        <v>0</v>
      </c>
      <c r="T42">
        <f t="shared" si="37"/>
        <v>0</v>
      </c>
      <c r="U42">
        <f t="shared" si="38"/>
        <v>0</v>
      </c>
      <c r="V42">
        <f t="shared" si="39"/>
        <v>0</v>
      </c>
      <c r="W42">
        <f t="shared" si="40"/>
        <v>0</v>
      </c>
      <c r="X42">
        <f t="shared" si="41"/>
        <v>0</v>
      </c>
      <c r="Y42">
        <f t="shared" si="41"/>
        <v>0</v>
      </c>
      <c r="AA42">
        <v>44175489</v>
      </c>
      <c r="AB42">
        <f t="shared" si="42"/>
        <v>25.7</v>
      </c>
      <c r="AC42">
        <f t="shared" si="43"/>
        <v>0</v>
      </c>
      <c r="AD42">
        <f t="shared" si="44"/>
        <v>25.7</v>
      </c>
      <c r="AE42">
        <f t="shared" si="45"/>
        <v>0.57999999999999996</v>
      </c>
      <c r="AF42">
        <f t="shared" si="45"/>
        <v>0</v>
      </c>
      <c r="AG42">
        <f t="shared" si="46"/>
        <v>0</v>
      </c>
      <c r="AH42">
        <f t="shared" si="47"/>
        <v>0</v>
      </c>
      <c r="AI42">
        <f t="shared" si="47"/>
        <v>0</v>
      </c>
      <c r="AJ42">
        <f t="shared" si="48"/>
        <v>0</v>
      </c>
      <c r="AK42">
        <v>25.7</v>
      </c>
      <c r="AL42">
        <v>0</v>
      </c>
      <c r="AM42">
        <v>25.7</v>
      </c>
      <c r="AN42">
        <v>0.57999999999999996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106</v>
      </c>
      <c r="AU42">
        <v>53</v>
      </c>
      <c r="AV42">
        <v>1.0669999999999999</v>
      </c>
      <c r="AW42">
        <v>1.0029999999999999</v>
      </c>
      <c r="AZ42">
        <v>1</v>
      </c>
      <c r="BA42">
        <v>21.43</v>
      </c>
      <c r="BB42">
        <v>2.37</v>
      </c>
      <c r="BC42">
        <v>1</v>
      </c>
      <c r="BD42" t="s">
        <v>6</v>
      </c>
      <c r="BE42" t="s">
        <v>6</v>
      </c>
      <c r="BF42" t="s">
        <v>6</v>
      </c>
      <c r="BG42" t="s">
        <v>6</v>
      </c>
      <c r="BH42">
        <v>0</v>
      </c>
      <c r="BI42">
        <v>1</v>
      </c>
      <c r="BJ42" t="s">
        <v>89</v>
      </c>
      <c r="BM42">
        <v>140</v>
      </c>
      <c r="BN42">
        <v>0</v>
      </c>
      <c r="BO42" t="s">
        <v>86</v>
      </c>
      <c r="BP42">
        <v>1</v>
      </c>
      <c r="BQ42">
        <v>30</v>
      </c>
      <c r="BR42">
        <v>0</v>
      </c>
      <c r="BS42">
        <v>21.43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6</v>
      </c>
      <c r="BZ42">
        <v>106</v>
      </c>
      <c r="CA42">
        <v>53</v>
      </c>
      <c r="CE42">
        <v>30</v>
      </c>
      <c r="CF42">
        <v>0</v>
      </c>
      <c r="CG42">
        <v>0</v>
      </c>
      <c r="CM42">
        <v>0</v>
      </c>
      <c r="CN42" t="s">
        <v>6</v>
      </c>
      <c r="CO42">
        <v>0</v>
      </c>
      <c r="CP42">
        <f t="shared" si="49"/>
        <v>974.85</v>
      </c>
      <c r="CQ42">
        <f t="shared" si="50"/>
        <v>0</v>
      </c>
      <c r="CR42">
        <f t="shared" si="51"/>
        <v>64.989999999999995</v>
      </c>
      <c r="CS42">
        <f t="shared" si="52"/>
        <v>13.29</v>
      </c>
      <c r="CT42">
        <f t="shared" si="53"/>
        <v>0</v>
      </c>
      <c r="CU42">
        <f t="shared" si="54"/>
        <v>0</v>
      </c>
      <c r="CV42">
        <f t="shared" si="55"/>
        <v>0</v>
      </c>
      <c r="CW42">
        <f t="shared" si="56"/>
        <v>0</v>
      </c>
      <c r="CX42">
        <f t="shared" si="56"/>
        <v>0</v>
      </c>
      <c r="CY42">
        <f t="shared" si="57"/>
        <v>0</v>
      </c>
      <c r="CZ42">
        <f t="shared" si="58"/>
        <v>0</v>
      </c>
      <c r="DC42" t="s">
        <v>6</v>
      </c>
      <c r="DD42" t="s">
        <v>6</v>
      </c>
      <c r="DE42" t="s">
        <v>6</v>
      </c>
      <c r="DF42" t="s">
        <v>6</v>
      </c>
      <c r="DG42" t="s">
        <v>6</v>
      </c>
      <c r="DH42" t="s">
        <v>6</v>
      </c>
      <c r="DI42" t="s">
        <v>6</v>
      </c>
      <c r="DJ42" t="s">
        <v>6</v>
      </c>
      <c r="DK42" t="s">
        <v>6</v>
      </c>
      <c r="DL42" t="s">
        <v>6</v>
      </c>
      <c r="DM42" t="s">
        <v>6</v>
      </c>
      <c r="DN42">
        <v>133</v>
      </c>
      <c r="DO42">
        <v>113</v>
      </c>
      <c r="DP42">
        <v>1.0669999999999999</v>
      </c>
      <c r="DQ42">
        <v>1.0029999999999999</v>
      </c>
      <c r="DU42">
        <v>1013</v>
      </c>
      <c r="DV42" t="s">
        <v>88</v>
      </c>
      <c r="DW42" t="s">
        <v>88</v>
      </c>
      <c r="DX42">
        <v>1</v>
      </c>
      <c r="EE42">
        <v>44063959</v>
      </c>
      <c r="EF42">
        <v>30</v>
      </c>
      <c r="EG42" t="s">
        <v>29</v>
      </c>
      <c r="EH42">
        <v>0</v>
      </c>
      <c r="EI42" t="s">
        <v>6</v>
      </c>
      <c r="EJ42">
        <v>1</v>
      </c>
      <c r="EK42">
        <v>140</v>
      </c>
      <c r="EL42" t="s">
        <v>90</v>
      </c>
      <c r="EM42" t="s">
        <v>91</v>
      </c>
      <c r="EO42" t="s">
        <v>6</v>
      </c>
      <c r="EQ42">
        <v>131072</v>
      </c>
      <c r="ER42">
        <v>25.7</v>
      </c>
      <c r="ES42">
        <v>0</v>
      </c>
      <c r="ET42">
        <v>25.7</v>
      </c>
      <c r="EU42">
        <v>0.57999999999999996</v>
      </c>
      <c r="EV42">
        <v>0</v>
      </c>
      <c r="EW42">
        <v>0</v>
      </c>
      <c r="EX42">
        <v>0</v>
      </c>
      <c r="EY42">
        <v>0</v>
      </c>
      <c r="FQ42">
        <v>0</v>
      </c>
      <c r="FR42">
        <f t="shared" si="59"/>
        <v>0</v>
      </c>
      <c r="FS42">
        <v>0</v>
      </c>
      <c r="FX42">
        <v>133</v>
      </c>
      <c r="FY42">
        <v>113</v>
      </c>
      <c r="GA42" t="s">
        <v>6</v>
      </c>
      <c r="GD42">
        <v>0</v>
      </c>
      <c r="GF42">
        <v>275578643</v>
      </c>
      <c r="GG42">
        <v>2</v>
      </c>
      <c r="GH42">
        <v>1</v>
      </c>
      <c r="GI42">
        <v>2</v>
      </c>
      <c r="GJ42">
        <v>0</v>
      </c>
      <c r="GK42">
        <f>ROUND(R42*(R12)/100,2)</f>
        <v>312.23</v>
      </c>
      <c r="GL42">
        <f t="shared" si="60"/>
        <v>0</v>
      </c>
      <c r="GM42">
        <f t="shared" si="61"/>
        <v>1287.08</v>
      </c>
      <c r="GN42">
        <f t="shared" si="62"/>
        <v>1287.08</v>
      </c>
      <c r="GO42">
        <f t="shared" si="63"/>
        <v>0</v>
      </c>
      <c r="GP42">
        <f t="shared" si="64"/>
        <v>0</v>
      </c>
      <c r="GR42">
        <v>0</v>
      </c>
      <c r="GS42">
        <v>0</v>
      </c>
      <c r="GT42">
        <v>0</v>
      </c>
      <c r="GU42" t="s">
        <v>6</v>
      </c>
      <c r="GV42">
        <f t="shared" si="65"/>
        <v>0</v>
      </c>
      <c r="GW42">
        <v>1</v>
      </c>
      <c r="GX42">
        <f t="shared" si="66"/>
        <v>0</v>
      </c>
      <c r="HA42">
        <v>0</v>
      </c>
      <c r="HB42">
        <v>0</v>
      </c>
      <c r="HC42">
        <f t="shared" si="67"/>
        <v>0</v>
      </c>
      <c r="IK42">
        <v>0</v>
      </c>
    </row>
    <row r="43" spans="1:245" x14ac:dyDescent="0.2">
      <c r="A43">
        <v>17</v>
      </c>
      <c r="B43">
        <v>1</v>
      </c>
      <c r="C43">
        <f>ROW(SmtRes!A26)</f>
        <v>26</v>
      </c>
      <c r="D43">
        <f>ROW(EtalonRes!A24)</f>
        <v>24</v>
      </c>
      <c r="E43" t="s">
        <v>92</v>
      </c>
      <c r="F43" t="s">
        <v>93</v>
      </c>
      <c r="G43" t="s">
        <v>94</v>
      </c>
      <c r="H43" t="s">
        <v>59</v>
      </c>
      <c r="I43">
        <v>1</v>
      </c>
      <c r="J43">
        <v>0</v>
      </c>
      <c r="O43">
        <f t="shared" si="32"/>
        <v>3203.39</v>
      </c>
      <c r="P43">
        <f t="shared" si="33"/>
        <v>0</v>
      </c>
      <c r="Q43">
        <f t="shared" si="34"/>
        <v>3129.89</v>
      </c>
      <c r="R43">
        <f t="shared" si="35"/>
        <v>434.17</v>
      </c>
      <c r="S43">
        <f t="shared" si="36"/>
        <v>73.5</v>
      </c>
      <c r="T43">
        <f t="shared" si="37"/>
        <v>0</v>
      </c>
      <c r="U43">
        <f t="shared" si="38"/>
        <v>0.27222000000000002</v>
      </c>
      <c r="V43">
        <f t="shared" si="39"/>
        <v>0</v>
      </c>
      <c r="W43">
        <f t="shared" si="40"/>
        <v>0</v>
      </c>
      <c r="X43">
        <f t="shared" si="41"/>
        <v>87.47</v>
      </c>
      <c r="Y43">
        <f t="shared" si="41"/>
        <v>55.13</v>
      </c>
      <c r="AA43">
        <v>44175489</v>
      </c>
      <c r="AB43">
        <f t="shared" si="42"/>
        <v>509.96</v>
      </c>
      <c r="AC43">
        <f t="shared" si="43"/>
        <v>0</v>
      </c>
      <c r="AD43">
        <f t="shared" si="44"/>
        <v>506.68</v>
      </c>
      <c r="AE43">
        <f t="shared" si="45"/>
        <v>19.350000000000001</v>
      </c>
      <c r="AF43">
        <f t="shared" si="45"/>
        <v>3.28</v>
      </c>
      <c r="AG43">
        <f t="shared" si="46"/>
        <v>0</v>
      </c>
      <c r="AH43">
        <f t="shared" si="47"/>
        <v>0.26</v>
      </c>
      <c r="AI43">
        <f t="shared" si="47"/>
        <v>0</v>
      </c>
      <c r="AJ43">
        <f t="shared" si="48"/>
        <v>0</v>
      </c>
      <c r="AK43">
        <v>509.96</v>
      </c>
      <c r="AL43">
        <v>0</v>
      </c>
      <c r="AM43">
        <v>506.68</v>
      </c>
      <c r="AN43">
        <v>19.350000000000001</v>
      </c>
      <c r="AO43">
        <v>3.28</v>
      </c>
      <c r="AP43">
        <v>0</v>
      </c>
      <c r="AQ43">
        <v>0.26</v>
      </c>
      <c r="AR43">
        <v>0</v>
      </c>
      <c r="AS43">
        <v>0</v>
      </c>
      <c r="AT43">
        <v>119</v>
      </c>
      <c r="AU43">
        <v>75</v>
      </c>
      <c r="AV43">
        <v>1.0469999999999999</v>
      </c>
      <c r="AW43">
        <v>1.079</v>
      </c>
      <c r="AZ43">
        <v>1</v>
      </c>
      <c r="BA43">
        <v>21.43</v>
      </c>
      <c r="BB43">
        <v>5.9</v>
      </c>
      <c r="BC43">
        <v>1</v>
      </c>
      <c r="BD43" t="s">
        <v>6</v>
      </c>
      <c r="BE43" t="s">
        <v>6</v>
      </c>
      <c r="BF43" t="s">
        <v>6</v>
      </c>
      <c r="BG43" t="s">
        <v>6</v>
      </c>
      <c r="BH43">
        <v>0</v>
      </c>
      <c r="BI43">
        <v>1</v>
      </c>
      <c r="BJ43" t="s">
        <v>95</v>
      </c>
      <c r="BM43">
        <v>1987</v>
      </c>
      <c r="BN43">
        <v>0</v>
      </c>
      <c r="BO43" t="s">
        <v>93</v>
      </c>
      <c r="BP43">
        <v>1</v>
      </c>
      <c r="BQ43">
        <v>30</v>
      </c>
      <c r="BR43">
        <v>0</v>
      </c>
      <c r="BS43">
        <v>21.43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6</v>
      </c>
      <c r="BZ43">
        <v>119</v>
      </c>
      <c r="CA43">
        <v>75</v>
      </c>
      <c r="CE43">
        <v>30</v>
      </c>
      <c r="CF43">
        <v>0</v>
      </c>
      <c r="CG43">
        <v>0</v>
      </c>
      <c r="CM43">
        <v>0</v>
      </c>
      <c r="CN43" t="s">
        <v>6</v>
      </c>
      <c r="CO43">
        <v>0</v>
      </c>
      <c r="CP43">
        <f t="shared" si="49"/>
        <v>3203.39</v>
      </c>
      <c r="CQ43">
        <f t="shared" si="50"/>
        <v>0</v>
      </c>
      <c r="CR43">
        <f t="shared" si="51"/>
        <v>3129.89</v>
      </c>
      <c r="CS43">
        <f t="shared" si="52"/>
        <v>434.17</v>
      </c>
      <c r="CT43">
        <f t="shared" si="53"/>
        <v>73.5</v>
      </c>
      <c r="CU43">
        <f t="shared" si="54"/>
        <v>0</v>
      </c>
      <c r="CV43">
        <f t="shared" si="55"/>
        <v>0.27222000000000002</v>
      </c>
      <c r="CW43">
        <f t="shared" si="56"/>
        <v>0</v>
      </c>
      <c r="CX43">
        <f t="shared" si="56"/>
        <v>0</v>
      </c>
      <c r="CY43">
        <f t="shared" si="57"/>
        <v>87.464999999999989</v>
      </c>
      <c r="CZ43">
        <f t="shared" si="58"/>
        <v>55.125</v>
      </c>
      <c r="DC43" t="s">
        <v>6</v>
      </c>
      <c r="DD43" t="s">
        <v>6</v>
      </c>
      <c r="DE43" t="s">
        <v>6</v>
      </c>
      <c r="DF43" t="s">
        <v>6</v>
      </c>
      <c r="DG43" t="s">
        <v>6</v>
      </c>
      <c r="DH43" t="s">
        <v>6</v>
      </c>
      <c r="DI43" t="s">
        <v>6</v>
      </c>
      <c r="DJ43" t="s">
        <v>6</v>
      </c>
      <c r="DK43" t="s">
        <v>6</v>
      </c>
      <c r="DL43" t="s">
        <v>6</v>
      </c>
      <c r="DM43" t="s">
        <v>6</v>
      </c>
      <c r="DN43">
        <v>149</v>
      </c>
      <c r="DO43">
        <v>158</v>
      </c>
      <c r="DP43">
        <v>1.0469999999999999</v>
      </c>
      <c r="DQ43">
        <v>1.079</v>
      </c>
      <c r="DU43">
        <v>1013</v>
      </c>
      <c r="DV43" t="s">
        <v>59</v>
      </c>
      <c r="DW43" t="s">
        <v>59</v>
      </c>
      <c r="DX43">
        <v>1</v>
      </c>
      <c r="EE43">
        <v>44065808</v>
      </c>
      <c r="EF43">
        <v>30</v>
      </c>
      <c r="EG43" t="s">
        <v>29</v>
      </c>
      <c r="EH43">
        <v>0</v>
      </c>
      <c r="EI43" t="s">
        <v>6</v>
      </c>
      <c r="EJ43">
        <v>1</v>
      </c>
      <c r="EK43">
        <v>1987</v>
      </c>
      <c r="EL43" t="s">
        <v>61</v>
      </c>
      <c r="EM43" t="s">
        <v>62</v>
      </c>
      <c r="EO43" t="s">
        <v>6</v>
      </c>
      <c r="EQ43">
        <v>131072</v>
      </c>
      <c r="ER43">
        <v>509.96</v>
      </c>
      <c r="ES43">
        <v>0</v>
      </c>
      <c r="ET43">
        <v>506.68</v>
      </c>
      <c r="EU43">
        <v>19.350000000000001</v>
      </c>
      <c r="EV43">
        <v>3.28</v>
      </c>
      <c r="EW43">
        <v>0.26</v>
      </c>
      <c r="EX43">
        <v>0</v>
      </c>
      <c r="EY43">
        <v>0</v>
      </c>
      <c r="FQ43">
        <v>0</v>
      </c>
      <c r="FR43">
        <f t="shared" si="59"/>
        <v>0</v>
      </c>
      <c r="FS43">
        <v>0</v>
      </c>
      <c r="FX43">
        <v>149</v>
      </c>
      <c r="FY43">
        <v>158</v>
      </c>
      <c r="GA43" t="s">
        <v>6</v>
      </c>
      <c r="GD43">
        <v>0</v>
      </c>
      <c r="GF43">
        <v>903041355</v>
      </c>
      <c r="GG43">
        <v>2</v>
      </c>
      <c r="GH43">
        <v>1</v>
      </c>
      <c r="GI43">
        <v>2</v>
      </c>
      <c r="GJ43">
        <v>0</v>
      </c>
      <c r="GK43">
        <f>ROUND(R43*(R12)/100,2)</f>
        <v>681.65</v>
      </c>
      <c r="GL43">
        <f t="shared" si="60"/>
        <v>0</v>
      </c>
      <c r="GM43">
        <f t="shared" si="61"/>
        <v>4027.64</v>
      </c>
      <c r="GN43">
        <f t="shared" si="62"/>
        <v>4027.64</v>
      </c>
      <c r="GO43">
        <f t="shared" si="63"/>
        <v>0</v>
      </c>
      <c r="GP43">
        <f t="shared" si="64"/>
        <v>0</v>
      </c>
      <c r="GR43">
        <v>0</v>
      </c>
      <c r="GS43">
        <v>0</v>
      </c>
      <c r="GT43">
        <v>0</v>
      </c>
      <c r="GU43" t="s">
        <v>6</v>
      </c>
      <c r="GV43">
        <f t="shared" si="65"/>
        <v>0</v>
      </c>
      <c r="GW43">
        <v>1</v>
      </c>
      <c r="GX43">
        <f t="shared" si="66"/>
        <v>0</v>
      </c>
      <c r="HA43">
        <v>0</v>
      </c>
      <c r="HB43">
        <v>0</v>
      </c>
      <c r="HC43">
        <f t="shared" si="67"/>
        <v>0</v>
      </c>
      <c r="IK43">
        <v>0</v>
      </c>
    </row>
    <row r="44" spans="1:245" x14ac:dyDescent="0.2">
      <c r="A44">
        <v>19</v>
      </c>
      <c r="B44">
        <v>1</v>
      </c>
      <c r="F44" t="s">
        <v>6</v>
      </c>
      <c r="G44" t="s">
        <v>96</v>
      </c>
      <c r="H44" t="s">
        <v>6</v>
      </c>
      <c r="AA44">
        <v>1</v>
      </c>
      <c r="IK44">
        <v>0</v>
      </c>
    </row>
    <row r="45" spans="1:245" x14ac:dyDescent="0.2">
      <c r="A45">
        <v>17</v>
      </c>
      <c r="B45">
        <v>1</v>
      </c>
      <c r="C45">
        <f>ROW(SmtRes!A29)</f>
        <v>29</v>
      </c>
      <c r="D45">
        <f>ROW(EtalonRes!A27)</f>
        <v>27</v>
      </c>
      <c r="E45" t="s">
        <v>97</v>
      </c>
      <c r="F45" t="s">
        <v>57</v>
      </c>
      <c r="G45" t="s">
        <v>58</v>
      </c>
      <c r="H45" t="s">
        <v>59</v>
      </c>
      <c r="I45">
        <v>1</v>
      </c>
      <c r="J45">
        <v>0</v>
      </c>
      <c r="O45">
        <f t="shared" ref="O45:O51" si="68">ROUND(CP45,2)</f>
        <v>8086.67</v>
      </c>
      <c r="P45">
        <f t="shared" ref="P45:P51" si="69">ROUND((ROUND((AC45*AW45*I45),2)*BC45),2)</f>
        <v>0</v>
      </c>
      <c r="Q45">
        <f t="shared" ref="Q45:Q51" si="70">(ROUND((ROUND(((ET45)*AV45*I45),2)*BB45),2)+ROUND((ROUND(((AE45-(EU45))*AV45*I45),2)*BS45),2))</f>
        <v>7916.73</v>
      </c>
      <c r="R45">
        <f t="shared" ref="R45:R51" si="71">ROUND((ROUND((AE45*AV45*I45),2)*BS45),2)</f>
        <v>1315.37</v>
      </c>
      <c r="S45">
        <f t="shared" ref="S45:S51" si="72">ROUND((ROUND((AF45*AV45*I45),2)*BA45),2)</f>
        <v>169.94</v>
      </c>
      <c r="T45">
        <f t="shared" ref="T45:T51" si="73">ROUND(CU45*I45,2)</f>
        <v>0</v>
      </c>
      <c r="U45">
        <f t="shared" ref="U45:U51" si="74">CV45*I45</f>
        <v>0.62819999999999998</v>
      </c>
      <c r="V45">
        <f t="shared" ref="V45:V51" si="75">CW45*I45</f>
        <v>0</v>
      </c>
      <c r="W45">
        <f t="shared" ref="W45:W51" si="76">ROUND(CX45*I45,2)</f>
        <v>0</v>
      </c>
      <c r="X45">
        <f t="shared" ref="X45:Y51" si="77">ROUND(CY45,2)</f>
        <v>202.23</v>
      </c>
      <c r="Y45">
        <f t="shared" si="77"/>
        <v>127.46</v>
      </c>
      <c r="AA45">
        <v>44175489</v>
      </c>
      <c r="AB45">
        <f t="shared" ref="AB45:AB51" si="78">ROUND((AC45+AD45+AF45),6)</f>
        <v>1245.1099999999999</v>
      </c>
      <c r="AC45">
        <f t="shared" ref="AC45:AC51" si="79">ROUND((ES45),6)</f>
        <v>0</v>
      </c>
      <c r="AD45">
        <f t="shared" ref="AD45:AD51" si="80">ROUND((((ET45)-(EU45))+AE45),6)</f>
        <v>1237.54</v>
      </c>
      <c r="AE45">
        <f t="shared" ref="AE45:AF51" si="81">ROUND((EU45),6)</f>
        <v>58.62</v>
      </c>
      <c r="AF45">
        <f t="shared" si="81"/>
        <v>7.57</v>
      </c>
      <c r="AG45">
        <f t="shared" ref="AG45:AG51" si="82">ROUND((AP45),6)</f>
        <v>0</v>
      </c>
      <c r="AH45">
        <f t="shared" ref="AH45:AI51" si="83">(EW45)</f>
        <v>0.6</v>
      </c>
      <c r="AI45">
        <f t="shared" si="83"/>
        <v>0</v>
      </c>
      <c r="AJ45">
        <f t="shared" ref="AJ45:AJ51" si="84">(AS45)</f>
        <v>0</v>
      </c>
      <c r="AK45">
        <v>1245.1099999999999</v>
      </c>
      <c r="AL45">
        <v>0</v>
      </c>
      <c r="AM45">
        <v>1237.54</v>
      </c>
      <c r="AN45">
        <v>58.62</v>
      </c>
      <c r="AO45">
        <v>7.57</v>
      </c>
      <c r="AP45">
        <v>0</v>
      </c>
      <c r="AQ45">
        <v>0.6</v>
      </c>
      <c r="AR45">
        <v>0</v>
      </c>
      <c r="AS45">
        <v>0</v>
      </c>
      <c r="AT45">
        <v>119</v>
      </c>
      <c r="AU45">
        <v>75</v>
      </c>
      <c r="AV45">
        <v>1.0469999999999999</v>
      </c>
      <c r="AW45">
        <v>1.079</v>
      </c>
      <c r="AZ45">
        <v>1</v>
      </c>
      <c r="BA45">
        <v>21.43</v>
      </c>
      <c r="BB45">
        <v>6.11</v>
      </c>
      <c r="BC45">
        <v>1</v>
      </c>
      <c r="BD45" t="s">
        <v>6</v>
      </c>
      <c r="BE45" t="s">
        <v>6</v>
      </c>
      <c r="BF45" t="s">
        <v>6</v>
      </c>
      <c r="BG45" t="s">
        <v>6</v>
      </c>
      <c r="BH45">
        <v>0</v>
      </c>
      <c r="BI45">
        <v>1</v>
      </c>
      <c r="BJ45" t="s">
        <v>60</v>
      </c>
      <c r="BM45">
        <v>1987</v>
      </c>
      <c r="BN45">
        <v>0</v>
      </c>
      <c r="BO45" t="s">
        <v>57</v>
      </c>
      <c r="BP45">
        <v>1</v>
      </c>
      <c r="BQ45">
        <v>30</v>
      </c>
      <c r="BR45">
        <v>0</v>
      </c>
      <c r="BS45">
        <v>21.43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6</v>
      </c>
      <c r="BZ45">
        <v>119</v>
      </c>
      <c r="CA45">
        <v>75</v>
      </c>
      <c r="CE45">
        <v>30</v>
      </c>
      <c r="CF45">
        <v>0</v>
      </c>
      <c r="CG45">
        <v>0</v>
      </c>
      <c r="CM45">
        <v>0</v>
      </c>
      <c r="CN45" t="s">
        <v>6</v>
      </c>
      <c r="CO45">
        <v>0</v>
      </c>
      <c r="CP45">
        <f t="shared" ref="CP45:CP51" si="85">(P45+Q45+S45)</f>
        <v>8086.6699999999992</v>
      </c>
      <c r="CQ45">
        <f t="shared" ref="CQ45:CQ51" si="86">ROUND((ROUND((AC45*AW45*1),2)*BC45),2)</f>
        <v>0</v>
      </c>
      <c r="CR45">
        <f t="shared" ref="CR45:CR51" si="87">(ROUND((ROUND(((ET45)*AV45*1),2)*BB45),2)+ROUND((ROUND(((AE45-(EU45))*AV45*1),2)*BS45),2))</f>
        <v>7916.73</v>
      </c>
      <c r="CS45">
        <f t="shared" ref="CS45:CS51" si="88">ROUND((ROUND((AE45*AV45*1),2)*BS45),2)</f>
        <v>1315.37</v>
      </c>
      <c r="CT45">
        <f t="shared" ref="CT45:CT51" si="89">ROUND((ROUND((AF45*AV45*1),2)*BA45),2)</f>
        <v>169.94</v>
      </c>
      <c r="CU45">
        <f t="shared" ref="CU45:CU51" si="90">AG45</f>
        <v>0</v>
      </c>
      <c r="CV45">
        <f t="shared" ref="CV45:CV51" si="91">(AH45*AV45)</f>
        <v>0.62819999999999998</v>
      </c>
      <c r="CW45">
        <f t="shared" ref="CW45:CX51" si="92">AI45</f>
        <v>0</v>
      </c>
      <c r="CX45">
        <f t="shared" si="92"/>
        <v>0</v>
      </c>
      <c r="CY45">
        <f t="shared" ref="CY45:CY51" si="93">S45*(BZ45/100)</f>
        <v>202.2286</v>
      </c>
      <c r="CZ45">
        <f t="shared" ref="CZ45:CZ51" si="94">S45*(CA45/100)</f>
        <v>127.455</v>
      </c>
      <c r="DC45" t="s">
        <v>6</v>
      </c>
      <c r="DD45" t="s">
        <v>6</v>
      </c>
      <c r="DE45" t="s">
        <v>6</v>
      </c>
      <c r="DF45" t="s">
        <v>6</v>
      </c>
      <c r="DG45" t="s">
        <v>6</v>
      </c>
      <c r="DH45" t="s">
        <v>6</v>
      </c>
      <c r="DI45" t="s">
        <v>6</v>
      </c>
      <c r="DJ45" t="s">
        <v>6</v>
      </c>
      <c r="DK45" t="s">
        <v>6</v>
      </c>
      <c r="DL45" t="s">
        <v>6</v>
      </c>
      <c r="DM45" t="s">
        <v>6</v>
      </c>
      <c r="DN45">
        <v>149</v>
      </c>
      <c r="DO45">
        <v>158</v>
      </c>
      <c r="DP45">
        <v>1.0469999999999999</v>
      </c>
      <c r="DQ45">
        <v>1.079</v>
      </c>
      <c r="DU45">
        <v>1013</v>
      </c>
      <c r="DV45" t="s">
        <v>59</v>
      </c>
      <c r="DW45" t="s">
        <v>59</v>
      </c>
      <c r="DX45">
        <v>1</v>
      </c>
      <c r="EE45">
        <v>44065808</v>
      </c>
      <c r="EF45">
        <v>30</v>
      </c>
      <c r="EG45" t="s">
        <v>29</v>
      </c>
      <c r="EH45">
        <v>0</v>
      </c>
      <c r="EI45" t="s">
        <v>6</v>
      </c>
      <c r="EJ45">
        <v>1</v>
      </c>
      <c r="EK45">
        <v>1987</v>
      </c>
      <c r="EL45" t="s">
        <v>61</v>
      </c>
      <c r="EM45" t="s">
        <v>62</v>
      </c>
      <c r="EO45" t="s">
        <v>6</v>
      </c>
      <c r="EQ45">
        <v>131072</v>
      </c>
      <c r="ER45">
        <v>1245.1099999999999</v>
      </c>
      <c r="ES45">
        <v>0</v>
      </c>
      <c r="ET45">
        <v>1237.54</v>
      </c>
      <c r="EU45">
        <v>58.62</v>
      </c>
      <c r="EV45">
        <v>7.57</v>
      </c>
      <c r="EW45">
        <v>0.6</v>
      </c>
      <c r="EX45">
        <v>0</v>
      </c>
      <c r="EY45">
        <v>0</v>
      </c>
      <c r="FQ45">
        <v>0</v>
      </c>
      <c r="FR45">
        <f t="shared" ref="FR45:FR51" si="95">ROUND(IF(AND(BH45=3,BI45=3),P45,0),2)</f>
        <v>0</v>
      </c>
      <c r="FS45">
        <v>0</v>
      </c>
      <c r="FX45">
        <v>149</v>
      </c>
      <c r="FY45">
        <v>158</v>
      </c>
      <c r="GA45" t="s">
        <v>6</v>
      </c>
      <c r="GD45">
        <v>0</v>
      </c>
      <c r="GF45">
        <v>116028939</v>
      </c>
      <c r="GG45">
        <v>2</v>
      </c>
      <c r="GH45">
        <v>1</v>
      </c>
      <c r="GI45">
        <v>2</v>
      </c>
      <c r="GJ45">
        <v>0</v>
      </c>
      <c r="GK45">
        <f>ROUND(R45*(R12)/100,2)</f>
        <v>2065.13</v>
      </c>
      <c r="GL45">
        <f t="shared" ref="GL45:GL51" si="96">ROUND(IF(AND(BH45=3,BI45=3,FS45&lt;&gt;0),P45,0),2)</f>
        <v>0</v>
      </c>
      <c r="GM45">
        <f t="shared" ref="GM45:GM51" si="97">ROUND(O45+X45+Y45+GK45,2)+GX45</f>
        <v>10481.49</v>
      </c>
      <c r="GN45">
        <f t="shared" ref="GN45:GN51" si="98">IF(OR(BI45=0,BI45=1),ROUND(O45+X45+Y45+GK45,2),0)</f>
        <v>10481.49</v>
      </c>
      <c r="GO45">
        <f t="shared" ref="GO45:GO51" si="99">IF(BI45=2,ROUND(O45+X45+Y45+GK45,2),0)</f>
        <v>0</v>
      </c>
      <c r="GP45">
        <f t="shared" ref="GP45:GP51" si="100">IF(BI45=4,ROUND(O45+X45+Y45+GK45,2)+GX45,0)</f>
        <v>0</v>
      </c>
      <c r="GR45">
        <v>0</v>
      </c>
      <c r="GS45">
        <v>0</v>
      </c>
      <c r="GT45">
        <v>0</v>
      </c>
      <c r="GU45" t="s">
        <v>6</v>
      </c>
      <c r="GV45">
        <f t="shared" ref="GV45:GV51" si="101">ROUND((GT45),6)</f>
        <v>0</v>
      </c>
      <c r="GW45">
        <v>1</v>
      </c>
      <c r="GX45">
        <f t="shared" ref="GX45:GX51" si="102">ROUND(HC45*I45,2)</f>
        <v>0</v>
      </c>
      <c r="HA45">
        <v>0</v>
      </c>
      <c r="HB45">
        <v>0</v>
      </c>
      <c r="HC45">
        <f t="shared" ref="HC45:HC51" si="103">GV45*GW45</f>
        <v>0</v>
      </c>
      <c r="IK45">
        <v>0</v>
      </c>
    </row>
    <row r="46" spans="1:245" x14ac:dyDescent="0.2">
      <c r="A46">
        <v>17</v>
      </c>
      <c r="B46">
        <v>1</v>
      </c>
      <c r="C46">
        <f>ROW(SmtRes!A44)</f>
        <v>44</v>
      </c>
      <c r="D46">
        <f>ROW(EtalonRes!A42)</f>
        <v>42</v>
      </c>
      <c r="E46" t="s">
        <v>98</v>
      </c>
      <c r="F46" t="s">
        <v>64</v>
      </c>
      <c r="G46" t="s">
        <v>65</v>
      </c>
      <c r="H46" t="s">
        <v>66</v>
      </c>
      <c r="I46">
        <v>31</v>
      </c>
      <c r="J46">
        <v>0</v>
      </c>
      <c r="O46">
        <f t="shared" si="68"/>
        <v>433691.29</v>
      </c>
      <c r="P46">
        <f t="shared" si="69"/>
        <v>5022.2299999999996</v>
      </c>
      <c r="Q46">
        <f t="shared" si="70"/>
        <v>407406</v>
      </c>
      <c r="R46">
        <f t="shared" si="71"/>
        <v>77380.3</v>
      </c>
      <c r="S46">
        <f t="shared" si="72"/>
        <v>21263.06</v>
      </c>
      <c r="T46">
        <f t="shared" si="73"/>
        <v>0</v>
      </c>
      <c r="U46">
        <f t="shared" si="74"/>
        <v>72.054539999999989</v>
      </c>
      <c r="V46">
        <f t="shared" si="75"/>
        <v>0</v>
      </c>
      <c r="W46">
        <f t="shared" si="76"/>
        <v>0</v>
      </c>
      <c r="X46">
        <f t="shared" si="77"/>
        <v>25303.040000000001</v>
      </c>
      <c r="Y46">
        <f t="shared" si="77"/>
        <v>15947.3</v>
      </c>
      <c r="AA46">
        <v>44175489</v>
      </c>
      <c r="AB46">
        <f t="shared" si="78"/>
        <v>2071.63</v>
      </c>
      <c r="AC46">
        <f t="shared" si="79"/>
        <v>35.92</v>
      </c>
      <c r="AD46">
        <f t="shared" si="80"/>
        <v>2005.14</v>
      </c>
      <c r="AE46">
        <f t="shared" si="81"/>
        <v>111.25</v>
      </c>
      <c r="AF46">
        <f t="shared" si="81"/>
        <v>30.57</v>
      </c>
      <c r="AG46">
        <f t="shared" si="82"/>
        <v>0</v>
      </c>
      <c r="AH46">
        <f t="shared" si="83"/>
        <v>2.2200000000000002</v>
      </c>
      <c r="AI46">
        <f t="shared" si="83"/>
        <v>0</v>
      </c>
      <c r="AJ46">
        <f t="shared" si="84"/>
        <v>0</v>
      </c>
      <c r="AK46">
        <v>2071.63</v>
      </c>
      <c r="AL46">
        <v>35.92</v>
      </c>
      <c r="AM46">
        <v>2005.14</v>
      </c>
      <c r="AN46">
        <v>111.25</v>
      </c>
      <c r="AO46">
        <v>30.57</v>
      </c>
      <c r="AP46">
        <v>0</v>
      </c>
      <c r="AQ46">
        <v>2.2200000000000002</v>
      </c>
      <c r="AR46">
        <v>0</v>
      </c>
      <c r="AS46">
        <v>0</v>
      </c>
      <c r="AT46">
        <v>119</v>
      </c>
      <c r="AU46">
        <v>75</v>
      </c>
      <c r="AV46">
        <v>1.0469999999999999</v>
      </c>
      <c r="AW46">
        <v>1.079</v>
      </c>
      <c r="AZ46">
        <v>1</v>
      </c>
      <c r="BA46">
        <v>21.43</v>
      </c>
      <c r="BB46">
        <v>6.26</v>
      </c>
      <c r="BC46">
        <v>4.18</v>
      </c>
      <c r="BD46" t="s">
        <v>6</v>
      </c>
      <c r="BE46" t="s">
        <v>6</v>
      </c>
      <c r="BF46" t="s">
        <v>6</v>
      </c>
      <c r="BG46" t="s">
        <v>6</v>
      </c>
      <c r="BH46">
        <v>0</v>
      </c>
      <c r="BI46">
        <v>1</v>
      </c>
      <c r="BJ46" t="s">
        <v>67</v>
      </c>
      <c r="BM46">
        <v>1989</v>
      </c>
      <c r="BN46">
        <v>0</v>
      </c>
      <c r="BO46" t="s">
        <v>64</v>
      </c>
      <c r="BP46">
        <v>1</v>
      </c>
      <c r="BQ46">
        <v>30</v>
      </c>
      <c r="BR46">
        <v>0</v>
      </c>
      <c r="BS46">
        <v>21.43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6</v>
      </c>
      <c r="BZ46">
        <v>119</v>
      </c>
      <c r="CA46">
        <v>75</v>
      </c>
      <c r="CE46">
        <v>30</v>
      </c>
      <c r="CF46">
        <v>0</v>
      </c>
      <c r="CG46">
        <v>0</v>
      </c>
      <c r="CM46">
        <v>0</v>
      </c>
      <c r="CN46" t="s">
        <v>6</v>
      </c>
      <c r="CO46">
        <v>0</v>
      </c>
      <c r="CP46">
        <f t="shared" si="85"/>
        <v>433691.29</v>
      </c>
      <c r="CQ46">
        <f t="shared" si="86"/>
        <v>162.02000000000001</v>
      </c>
      <c r="CR46">
        <f t="shared" si="87"/>
        <v>13142.12</v>
      </c>
      <c r="CS46">
        <f t="shared" si="88"/>
        <v>2496.17</v>
      </c>
      <c r="CT46">
        <f t="shared" si="89"/>
        <v>685.97</v>
      </c>
      <c r="CU46">
        <f t="shared" si="90"/>
        <v>0</v>
      </c>
      <c r="CV46">
        <f t="shared" si="91"/>
        <v>2.3243399999999999</v>
      </c>
      <c r="CW46">
        <f t="shared" si="92"/>
        <v>0</v>
      </c>
      <c r="CX46">
        <f t="shared" si="92"/>
        <v>0</v>
      </c>
      <c r="CY46">
        <f t="shared" si="93"/>
        <v>25303.041400000002</v>
      </c>
      <c r="CZ46">
        <f t="shared" si="94"/>
        <v>15947.295000000002</v>
      </c>
      <c r="DC46" t="s">
        <v>6</v>
      </c>
      <c r="DD46" t="s">
        <v>6</v>
      </c>
      <c r="DE46" t="s">
        <v>6</v>
      </c>
      <c r="DF46" t="s">
        <v>6</v>
      </c>
      <c r="DG46" t="s">
        <v>6</v>
      </c>
      <c r="DH46" t="s">
        <v>6</v>
      </c>
      <c r="DI46" t="s">
        <v>6</v>
      </c>
      <c r="DJ46" t="s">
        <v>6</v>
      </c>
      <c r="DK46" t="s">
        <v>6</v>
      </c>
      <c r="DL46" t="s">
        <v>6</v>
      </c>
      <c r="DM46" t="s">
        <v>6</v>
      </c>
      <c r="DN46">
        <v>149</v>
      </c>
      <c r="DO46">
        <v>158</v>
      </c>
      <c r="DP46">
        <v>1.0469999999999999</v>
      </c>
      <c r="DQ46">
        <v>1.079</v>
      </c>
      <c r="DU46">
        <v>1013</v>
      </c>
      <c r="DV46" t="s">
        <v>66</v>
      </c>
      <c r="DW46" t="s">
        <v>66</v>
      </c>
      <c r="DX46">
        <v>1</v>
      </c>
      <c r="EE46">
        <v>44065810</v>
      </c>
      <c r="EF46">
        <v>30</v>
      </c>
      <c r="EG46" t="s">
        <v>29</v>
      </c>
      <c r="EH46">
        <v>0</v>
      </c>
      <c r="EI46" t="s">
        <v>6</v>
      </c>
      <c r="EJ46">
        <v>1</v>
      </c>
      <c r="EK46">
        <v>1989</v>
      </c>
      <c r="EL46" t="s">
        <v>68</v>
      </c>
      <c r="EM46" t="s">
        <v>69</v>
      </c>
      <c r="EO46" t="s">
        <v>6</v>
      </c>
      <c r="EQ46">
        <v>131072</v>
      </c>
      <c r="ER46">
        <v>2071.63</v>
      </c>
      <c r="ES46">
        <v>35.92</v>
      </c>
      <c r="ET46">
        <v>2005.14</v>
      </c>
      <c r="EU46">
        <v>111.25</v>
      </c>
      <c r="EV46">
        <v>30.57</v>
      </c>
      <c r="EW46">
        <v>2.2200000000000002</v>
      </c>
      <c r="EX46">
        <v>0</v>
      </c>
      <c r="EY46">
        <v>0</v>
      </c>
      <c r="FQ46">
        <v>0</v>
      </c>
      <c r="FR46">
        <f t="shared" si="95"/>
        <v>0</v>
      </c>
      <c r="FS46">
        <v>0</v>
      </c>
      <c r="FX46">
        <v>149</v>
      </c>
      <c r="FY46">
        <v>158</v>
      </c>
      <c r="GA46" t="s">
        <v>6</v>
      </c>
      <c r="GD46">
        <v>0</v>
      </c>
      <c r="GF46">
        <v>1035110979</v>
      </c>
      <c r="GG46">
        <v>2</v>
      </c>
      <c r="GH46">
        <v>1</v>
      </c>
      <c r="GI46">
        <v>2</v>
      </c>
      <c r="GJ46">
        <v>0</v>
      </c>
      <c r="GK46">
        <f>ROUND(R46*(R12)/100,2)</f>
        <v>121487.07</v>
      </c>
      <c r="GL46">
        <f t="shared" si="96"/>
        <v>0</v>
      </c>
      <c r="GM46">
        <f t="shared" si="97"/>
        <v>596428.69999999995</v>
      </c>
      <c r="GN46">
        <f t="shared" si="98"/>
        <v>596428.69999999995</v>
      </c>
      <c r="GO46">
        <f t="shared" si="99"/>
        <v>0</v>
      </c>
      <c r="GP46">
        <f t="shared" si="100"/>
        <v>0</v>
      </c>
      <c r="GR46">
        <v>0</v>
      </c>
      <c r="GS46">
        <v>0</v>
      </c>
      <c r="GT46">
        <v>0</v>
      </c>
      <c r="GU46" t="s">
        <v>6</v>
      </c>
      <c r="GV46">
        <f t="shared" si="101"/>
        <v>0</v>
      </c>
      <c r="GW46">
        <v>1</v>
      </c>
      <c r="GX46">
        <f t="shared" si="102"/>
        <v>0</v>
      </c>
      <c r="HA46">
        <v>0</v>
      </c>
      <c r="HB46">
        <v>0</v>
      </c>
      <c r="HC46">
        <f t="shared" si="103"/>
        <v>0</v>
      </c>
      <c r="IK46">
        <v>0</v>
      </c>
    </row>
    <row r="47" spans="1:245" x14ac:dyDescent="0.2">
      <c r="A47">
        <v>18</v>
      </c>
      <c r="B47">
        <v>1</v>
      </c>
      <c r="C47">
        <v>41</v>
      </c>
      <c r="E47" t="s">
        <v>99</v>
      </c>
      <c r="F47" t="s">
        <v>71</v>
      </c>
      <c r="G47" t="s">
        <v>72</v>
      </c>
      <c r="H47" t="s">
        <v>73</v>
      </c>
      <c r="I47">
        <f>I46*J47</f>
        <v>5555.2</v>
      </c>
      <c r="J47">
        <v>179.2</v>
      </c>
      <c r="O47">
        <f t="shared" si="68"/>
        <v>272286.21999999997</v>
      </c>
      <c r="P47">
        <f t="shared" si="69"/>
        <v>272286.21999999997</v>
      </c>
      <c r="Q47">
        <f t="shared" si="70"/>
        <v>0</v>
      </c>
      <c r="R47">
        <f t="shared" si="71"/>
        <v>0</v>
      </c>
      <c r="S47">
        <f t="shared" si="72"/>
        <v>0</v>
      </c>
      <c r="T47">
        <f t="shared" si="73"/>
        <v>0</v>
      </c>
      <c r="U47">
        <f t="shared" si="74"/>
        <v>0</v>
      </c>
      <c r="V47">
        <f t="shared" si="75"/>
        <v>0</v>
      </c>
      <c r="W47">
        <f t="shared" si="76"/>
        <v>0</v>
      </c>
      <c r="X47">
        <f t="shared" si="77"/>
        <v>0</v>
      </c>
      <c r="Y47">
        <f t="shared" si="77"/>
        <v>0</v>
      </c>
      <c r="AA47">
        <v>44175489</v>
      </c>
      <c r="AB47">
        <f t="shared" si="78"/>
        <v>11.3</v>
      </c>
      <c r="AC47">
        <f t="shared" si="79"/>
        <v>11.3</v>
      </c>
      <c r="AD47">
        <f t="shared" si="80"/>
        <v>0</v>
      </c>
      <c r="AE47">
        <f t="shared" si="81"/>
        <v>0</v>
      </c>
      <c r="AF47">
        <f t="shared" si="81"/>
        <v>0</v>
      </c>
      <c r="AG47">
        <f t="shared" si="82"/>
        <v>0</v>
      </c>
      <c r="AH47">
        <f t="shared" si="83"/>
        <v>0</v>
      </c>
      <c r="AI47">
        <f t="shared" si="83"/>
        <v>0</v>
      </c>
      <c r="AJ47">
        <f t="shared" si="84"/>
        <v>0</v>
      </c>
      <c r="AK47">
        <v>11.3</v>
      </c>
      <c r="AL47">
        <v>11.3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1</v>
      </c>
      <c r="AW47">
        <v>1.079</v>
      </c>
      <c r="AZ47">
        <v>1</v>
      </c>
      <c r="BA47">
        <v>1</v>
      </c>
      <c r="BB47">
        <v>1</v>
      </c>
      <c r="BC47">
        <v>4.0199999999999996</v>
      </c>
      <c r="BD47" t="s">
        <v>6</v>
      </c>
      <c r="BE47" t="s">
        <v>6</v>
      </c>
      <c r="BF47" t="s">
        <v>6</v>
      </c>
      <c r="BG47" t="s">
        <v>6</v>
      </c>
      <c r="BH47">
        <v>3</v>
      </c>
      <c r="BI47">
        <v>1</v>
      </c>
      <c r="BJ47" t="s">
        <v>74</v>
      </c>
      <c r="BM47">
        <v>1989</v>
      </c>
      <c r="BN47">
        <v>0</v>
      </c>
      <c r="BO47" t="s">
        <v>71</v>
      </c>
      <c r="BP47">
        <v>1</v>
      </c>
      <c r="BQ47">
        <v>30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6</v>
      </c>
      <c r="BZ47">
        <v>0</v>
      </c>
      <c r="CA47">
        <v>0</v>
      </c>
      <c r="CE47">
        <v>30</v>
      </c>
      <c r="CF47">
        <v>0</v>
      </c>
      <c r="CG47">
        <v>0</v>
      </c>
      <c r="CM47">
        <v>0</v>
      </c>
      <c r="CN47" t="s">
        <v>6</v>
      </c>
      <c r="CO47">
        <v>0</v>
      </c>
      <c r="CP47">
        <f t="shared" si="85"/>
        <v>272286.21999999997</v>
      </c>
      <c r="CQ47">
        <f t="shared" si="86"/>
        <v>49</v>
      </c>
      <c r="CR47">
        <f t="shared" si="87"/>
        <v>0</v>
      </c>
      <c r="CS47">
        <f t="shared" si="88"/>
        <v>0</v>
      </c>
      <c r="CT47">
        <f t="shared" si="89"/>
        <v>0</v>
      </c>
      <c r="CU47">
        <f t="shared" si="90"/>
        <v>0</v>
      </c>
      <c r="CV47">
        <f t="shared" si="91"/>
        <v>0</v>
      </c>
      <c r="CW47">
        <f t="shared" si="92"/>
        <v>0</v>
      </c>
      <c r="CX47">
        <f t="shared" si="92"/>
        <v>0</v>
      </c>
      <c r="CY47">
        <f t="shared" si="93"/>
        <v>0</v>
      </c>
      <c r="CZ47">
        <f t="shared" si="94"/>
        <v>0</v>
      </c>
      <c r="DC47" t="s">
        <v>6</v>
      </c>
      <c r="DD47" t="s">
        <v>6</v>
      </c>
      <c r="DE47" t="s">
        <v>6</v>
      </c>
      <c r="DF47" t="s">
        <v>6</v>
      </c>
      <c r="DG47" t="s">
        <v>6</v>
      </c>
      <c r="DH47" t="s">
        <v>6</v>
      </c>
      <c r="DI47" t="s">
        <v>6</v>
      </c>
      <c r="DJ47" t="s">
        <v>6</v>
      </c>
      <c r="DK47" t="s">
        <v>6</v>
      </c>
      <c r="DL47" t="s">
        <v>6</v>
      </c>
      <c r="DM47" t="s">
        <v>6</v>
      </c>
      <c r="DN47">
        <v>149</v>
      </c>
      <c r="DO47">
        <v>158</v>
      </c>
      <c r="DP47">
        <v>1.0469999999999999</v>
      </c>
      <c r="DQ47">
        <v>1.079</v>
      </c>
      <c r="DU47">
        <v>1009</v>
      </c>
      <c r="DV47" t="s">
        <v>73</v>
      </c>
      <c r="DW47" t="s">
        <v>73</v>
      </c>
      <c r="DX47">
        <v>1</v>
      </c>
      <c r="EE47">
        <v>44065810</v>
      </c>
      <c r="EF47">
        <v>30</v>
      </c>
      <c r="EG47" t="s">
        <v>29</v>
      </c>
      <c r="EH47">
        <v>0</v>
      </c>
      <c r="EI47" t="s">
        <v>6</v>
      </c>
      <c r="EJ47">
        <v>1</v>
      </c>
      <c r="EK47">
        <v>1989</v>
      </c>
      <c r="EL47" t="s">
        <v>68</v>
      </c>
      <c r="EM47" t="s">
        <v>69</v>
      </c>
      <c r="EO47" t="s">
        <v>6</v>
      </c>
      <c r="EQ47">
        <v>0</v>
      </c>
      <c r="ER47">
        <v>11.3</v>
      </c>
      <c r="ES47">
        <v>11.3</v>
      </c>
      <c r="ET47">
        <v>0</v>
      </c>
      <c r="EU47">
        <v>0</v>
      </c>
      <c r="EV47">
        <v>0</v>
      </c>
      <c r="EW47">
        <v>0</v>
      </c>
      <c r="EX47">
        <v>0</v>
      </c>
      <c r="FQ47">
        <v>0</v>
      </c>
      <c r="FR47">
        <f t="shared" si="95"/>
        <v>0</v>
      </c>
      <c r="FS47">
        <v>0</v>
      </c>
      <c r="FX47">
        <v>149</v>
      </c>
      <c r="FY47">
        <v>158</v>
      </c>
      <c r="GA47" t="s">
        <v>6</v>
      </c>
      <c r="GD47">
        <v>0</v>
      </c>
      <c r="GF47">
        <v>185995085</v>
      </c>
      <c r="GG47">
        <v>2</v>
      </c>
      <c r="GH47">
        <v>1</v>
      </c>
      <c r="GI47">
        <v>2</v>
      </c>
      <c r="GJ47">
        <v>0</v>
      </c>
      <c r="GK47">
        <f>ROUND(R47*(R12)/100,2)</f>
        <v>0</v>
      </c>
      <c r="GL47">
        <f t="shared" si="96"/>
        <v>0</v>
      </c>
      <c r="GM47">
        <f t="shared" si="97"/>
        <v>272286.21999999997</v>
      </c>
      <c r="GN47">
        <f t="shared" si="98"/>
        <v>272286.21999999997</v>
      </c>
      <c r="GO47">
        <f t="shared" si="99"/>
        <v>0</v>
      </c>
      <c r="GP47">
        <f t="shared" si="100"/>
        <v>0</v>
      </c>
      <c r="GR47">
        <v>0</v>
      </c>
      <c r="GS47">
        <v>0</v>
      </c>
      <c r="GT47">
        <v>0</v>
      </c>
      <c r="GU47" t="s">
        <v>6</v>
      </c>
      <c r="GV47">
        <f t="shared" si="101"/>
        <v>0</v>
      </c>
      <c r="GW47">
        <v>1</v>
      </c>
      <c r="GX47">
        <f t="shared" si="102"/>
        <v>0</v>
      </c>
      <c r="HA47">
        <v>0</v>
      </c>
      <c r="HB47">
        <v>0</v>
      </c>
      <c r="HC47">
        <f t="shared" si="103"/>
        <v>0</v>
      </c>
      <c r="IK47">
        <v>0</v>
      </c>
    </row>
    <row r="48" spans="1:245" x14ac:dyDescent="0.2">
      <c r="A48">
        <v>18</v>
      </c>
      <c r="B48">
        <v>1</v>
      </c>
      <c r="C48">
        <v>44</v>
      </c>
      <c r="E48" t="s">
        <v>100</v>
      </c>
      <c r="F48" t="s">
        <v>76</v>
      </c>
      <c r="G48" t="s">
        <v>77</v>
      </c>
      <c r="H48" t="s">
        <v>78</v>
      </c>
      <c r="I48">
        <f>I46*J48</f>
        <v>99</v>
      </c>
      <c r="J48">
        <v>3.193548387096774</v>
      </c>
      <c r="O48">
        <f t="shared" si="68"/>
        <v>225063.25</v>
      </c>
      <c r="P48">
        <f t="shared" si="69"/>
        <v>225063.25</v>
      </c>
      <c r="Q48">
        <f t="shared" si="70"/>
        <v>0</v>
      </c>
      <c r="R48">
        <f t="shared" si="71"/>
        <v>0</v>
      </c>
      <c r="S48">
        <f t="shared" si="72"/>
        <v>0</v>
      </c>
      <c r="T48">
        <f t="shared" si="73"/>
        <v>0</v>
      </c>
      <c r="U48">
        <f t="shared" si="74"/>
        <v>0</v>
      </c>
      <c r="V48">
        <f t="shared" si="75"/>
        <v>0</v>
      </c>
      <c r="W48">
        <f t="shared" si="76"/>
        <v>0</v>
      </c>
      <c r="X48">
        <f t="shared" si="77"/>
        <v>0</v>
      </c>
      <c r="Y48">
        <f t="shared" si="77"/>
        <v>0</v>
      </c>
      <c r="AA48">
        <v>44175489</v>
      </c>
      <c r="AB48">
        <f t="shared" si="78"/>
        <v>707.02</v>
      </c>
      <c r="AC48">
        <f t="shared" si="79"/>
        <v>707.02</v>
      </c>
      <c r="AD48">
        <f t="shared" si="80"/>
        <v>0</v>
      </c>
      <c r="AE48">
        <f t="shared" si="81"/>
        <v>0</v>
      </c>
      <c r="AF48">
        <f t="shared" si="81"/>
        <v>0</v>
      </c>
      <c r="AG48">
        <f t="shared" si="82"/>
        <v>0</v>
      </c>
      <c r="AH48">
        <f t="shared" si="83"/>
        <v>0</v>
      </c>
      <c r="AI48">
        <f t="shared" si="83"/>
        <v>0</v>
      </c>
      <c r="AJ48">
        <f t="shared" si="84"/>
        <v>0</v>
      </c>
      <c r="AK48">
        <v>707.02</v>
      </c>
      <c r="AL48">
        <v>707.02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1</v>
      </c>
      <c r="AW48">
        <v>1.079</v>
      </c>
      <c r="AZ48">
        <v>1</v>
      </c>
      <c r="BA48">
        <v>1</v>
      </c>
      <c r="BB48">
        <v>1</v>
      </c>
      <c r="BC48">
        <v>2.98</v>
      </c>
      <c r="BD48" t="s">
        <v>6</v>
      </c>
      <c r="BE48" t="s">
        <v>6</v>
      </c>
      <c r="BF48" t="s">
        <v>6</v>
      </c>
      <c r="BG48" t="s">
        <v>6</v>
      </c>
      <c r="BH48">
        <v>3</v>
      </c>
      <c r="BI48">
        <v>1</v>
      </c>
      <c r="BJ48" t="s">
        <v>79</v>
      </c>
      <c r="BM48">
        <v>1989</v>
      </c>
      <c r="BN48">
        <v>0</v>
      </c>
      <c r="BO48" t="s">
        <v>76</v>
      </c>
      <c r="BP48">
        <v>1</v>
      </c>
      <c r="BQ48">
        <v>30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6</v>
      </c>
      <c r="BZ48">
        <v>0</v>
      </c>
      <c r="CA48">
        <v>0</v>
      </c>
      <c r="CE48">
        <v>30</v>
      </c>
      <c r="CF48">
        <v>0</v>
      </c>
      <c r="CG48">
        <v>0</v>
      </c>
      <c r="CM48">
        <v>0</v>
      </c>
      <c r="CN48" t="s">
        <v>6</v>
      </c>
      <c r="CO48">
        <v>0</v>
      </c>
      <c r="CP48">
        <f t="shared" si="85"/>
        <v>225063.25</v>
      </c>
      <c r="CQ48">
        <f t="shared" si="86"/>
        <v>2273.35</v>
      </c>
      <c r="CR48">
        <f t="shared" si="87"/>
        <v>0</v>
      </c>
      <c r="CS48">
        <f t="shared" si="88"/>
        <v>0</v>
      </c>
      <c r="CT48">
        <f t="shared" si="89"/>
        <v>0</v>
      </c>
      <c r="CU48">
        <f t="shared" si="90"/>
        <v>0</v>
      </c>
      <c r="CV48">
        <f t="shared" si="91"/>
        <v>0</v>
      </c>
      <c r="CW48">
        <f t="shared" si="92"/>
        <v>0</v>
      </c>
      <c r="CX48">
        <f t="shared" si="92"/>
        <v>0</v>
      </c>
      <c r="CY48">
        <f t="shared" si="93"/>
        <v>0</v>
      </c>
      <c r="CZ48">
        <f t="shared" si="94"/>
        <v>0</v>
      </c>
      <c r="DC48" t="s">
        <v>6</v>
      </c>
      <c r="DD48" t="s">
        <v>6</v>
      </c>
      <c r="DE48" t="s">
        <v>6</v>
      </c>
      <c r="DF48" t="s">
        <v>6</v>
      </c>
      <c r="DG48" t="s">
        <v>6</v>
      </c>
      <c r="DH48" t="s">
        <v>6</v>
      </c>
      <c r="DI48" t="s">
        <v>6</v>
      </c>
      <c r="DJ48" t="s">
        <v>6</v>
      </c>
      <c r="DK48" t="s">
        <v>6</v>
      </c>
      <c r="DL48" t="s">
        <v>6</v>
      </c>
      <c r="DM48" t="s">
        <v>6</v>
      </c>
      <c r="DN48">
        <v>149</v>
      </c>
      <c r="DO48">
        <v>158</v>
      </c>
      <c r="DP48">
        <v>1.0469999999999999</v>
      </c>
      <c r="DQ48">
        <v>1.079</v>
      </c>
      <c r="DU48">
        <v>1003</v>
      </c>
      <c r="DV48" t="s">
        <v>78</v>
      </c>
      <c r="DW48" t="s">
        <v>78</v>
      </c>
      <c r="DX48">
        <v>1</v>
      </c>
      <c r="EE48">
        <v>44065810</v>
      </c>
      <c r="EF48">
        <v>30</v>
      </c>
      <c r="EG48" t="s">
        <v>29</v>
      </c>
      <c r="EH48">
        <v>0</v>
      </c>
      <c r="EI48" t="s">
        <v>6</v>
      </c>
      <c r="EJ48">
        <v>1</v>
      </c>
      <c r="EK48">
        <v>1989</v>
      </c>
      <c r="EL48" t="s">
        <v>68</v>
      </c>
      <c r="EM48" t="s">
        <v>69</v>
      </c>
      <c r="EO48" t="s">
        <v>6</v>
      </c>
      <c r="EQ48">
        <v>0</v>
      </c>
      <c r="ER48">
        <v>707.02</v>
      </c>
      <c r="ES48">
        <v>707.02</v>
      </c>
      <c r="ET48">
        <v>0</v>
      </c>
      <c r="EU48">
        <v>0</v>
      </c>
      <c r="EV48">
        <v>0</v>
      </c>
      <c r="EW48">
        <v>0</v>
      </c>
      <c r="EX48">
        <v>0</v>
      </c>
      <c r="FQ48">
        <v>0</v>
      </c>
      <c r="FR48">
        <f t="shared" si="95"/>
        <v>0</v>
      </c>
      <c r="FS48">
        <v>0</v>
      </c>
      <c r="FX48">
        <v>149</v>
      </c>
      <c r="FY48">
        <v>158</v>
      </c>
      <c r="GA48" t="s">
        <v>6</v>
      </c>
      <c r="GD48">
        <v>0</v>
      </c>
      <c r="GF48">
        <v>-203233444</v>
      </c>
      <c r="GG48">
        <v>2</v>
      </c>
      <c r="GH48">
        <v>1</v>
      </c>
      <c r="GI48">
        <v>2</v>
      </c>
      <c r="GJ48">
        <v>0</v>
      </c>
      <c r="GK48">
        <f>ROUND(R48*(R12)/100,2)</f>
        <v>0</v>
      </c>
      <c r="GL48">
        <f t="shared" si="96"/>
        <v>0</v>
      </c>
      <c r="GM48">
        <f t="shared" si="97"/>
        <v>225063.25</v>
      </c>
      <c r="GN48">
        <f t="shared" si="98"/>
        <v>225063.25</v>
      </c>
      <c r="GO48">
        <f t="shared" si="99"/>
        <v>0</v>
      </c>
      <c r="GP48">
        <f t="shared" si="100"/>
        <v>0</v>
      </c>
      <c r="GR48">
        <v>0</v>
      </c>
      <c r="GS48">
        <v>3</v>
      </c>
      <c r="GT48">
        <v>0</v>
      </c>
      <c r="GU48" t="s">
        <v>6</v>
      </c>
      <c r="GV48">
        <f t="shared" si="101"/>
        <v>0</v>
      </c>
      <c r="GW48">
        <v>1</v>
      </c>
      <c r="GX48">
        <f t="shared" si="102"/>
        <v>0</v>
      </c>
      <c r="HA48">
        <v>0</v>
      </c>
      <c r="HB48">
        <v>0</v>
      </c>
      <c r="HC48">
        <f t="shared" si="103"/>
        <v>0</v>
      </c>
      <c r="IK48">
        <v>0</v>
      </c>
    </row>
    <row r="49" spans="1:245" x14ac:dyDescent="0.2">
      <c r="A49">
        <v>18</v>
      </c>
      <c r="B49">
        <v>1</v>
      </c>
      <c r="C49">
        <v>43</v>
      </c>
      <c r="E49" t="s">
        <v>101</v>
      </c>
      <c r="F49" t="s">
        <v>81</v>
      </c>
      <c r="G49" t="s">
        <v>82</v>
      </c>
      <c r="H49" t="s">
        <v>83</v>
      </c>
      <c r="I49">
        <f>I46*J49</f>
        <v>304.34559999999999</v>
      </c>
      <c r="J49">
        <v>9.8176000000000005</v>
      </c>
      <c r="O49">
        <f t="shared" si="68"/>
        <v>146883.53</v>
      </c>
      <c r="P49">
        <f t="shared" si="69"/>
        <v>146883.53</v>
      </c>
      <c r="Q49">
        <f t="shared" si="70"/>
        <v>0</v>
      </c>
      <c r="R49">
        <f t="shared" si="71"/>
        <v>0</v>
      </c>
      <c r="S49">
        <f t="shared" si="72"/>
        <v>0</v>
      </c>
      <c r="T49">
        <f t="shared" si="73"/>
        <v>0</v>
      </c>
      <c r="U49">
        <f t="shared" si="74"/>
        <v>0</v>
      </c>
      <c r="V49">
        <f t="shared" si="75"/>
        <v>0</v>
      </c>
      <c r="W49">
        <f t="shared" si="76"/>
        <v>0</v>
      </c>
      <c r="X49">
        <f t="shared" si="77"/>
        <v>0</v>
      </c>
      <c r="Y49">
        <f t="shared" si="77"/>
        <v>0</v>
      </c>
      <c r="AA49">
        <v>44175489</v>
      </c>
      <c r="AB49">
        <f t="shared" si="78"/>
        <v>95.37</v>
      </c>
      <c r="AC49">
        <f t="shared" si="79"/>
        <v>95.37</v>
      </c>
      <c r="AD49">
        <f t="shared" si="80"/>
        <v>0</v>
      </c>
      <c r="AE49">
        <f t="shared" si="81"/>
        <v>0</v>
      </c>
      <c r="AF49">
        <f t="shared" si="81"/>
        <v>0</v>
      </c>
      <c r="AG49">
        <f t="shared" si="82"/>
        <v>0</v>
      </c>
      <c r="AH49">
        <f t="shared" si="83"/>
        <v>0</v>
      </c>
      <c r="AI49">
        <f t="shared" si="83"/>
        <v>0</v>
      </c>
      <c r="AJ49">
        <f t="shared" si="84"/>
        <v>0</v>
      </c>
      <c r="AK49">
        <v>95.37</v>
      </c>
      <c r="AL49">
        <v>95.37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1</v>
      </c>
      <c r="AW49">
        <v>1.079</v>
      </c>
      <c r="AZ49">
        <v>1</v>
      </c>
      <c r="BA49">
        <v>1</v>
      </c>
      <c r="BB49">
        <v>1</v>
      </c>
      <c r="BC49">
        <v>4.6900000000000004</v>
      </c>
      <c r="BD49" t="s">
        <v>6</v>
      </c>
      <c r="BE49" t="s">
        <v>6</v>
      </c>
      <c r="BF49" t="s">
        <v>6</v>
      </c>
      <c r="BG49" t="s">
        <v>6</v>
      </c>
      <c r="BH49">
        <v>3</v>
      </c>
      <c r="BI49">
        <v>1</v>
      </c>
      <c r="BJ49" t="s">
        <v>84</v>
      </c>
      <c r="BM49">
        <v>1989</v>
      </c>
      <c r="BN49">
        <v>0</v>
      </c>
      <c r="BO49" t="s">
        <v>81</v>
      </c>
      <c r="BP49">
        <v>1</v>
      </c>
      <c r="BQ49">
        <v>30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6</v>
      </c>
      <c r="BZ49">
        <v>0</v>
      </c>
      <c r="CA49">
        <v>0</v>
      </c>
      <c r="CE49">
        <v>30</v>
      </c>
      <c r="CF49">
        <v>0</v>
      </c>
      <c r="CG49">
        <v>0</v>
      </c>
      <c r="CM49">
        <v>0</v>
      </c>
      <c r="CN49" t="s">
        <v>6</v>
      </c>
      <c r="CO49">
        <v>0</v>
      </c>
      <c r="CP49">
        <f t="shared" si="85"/>
        <v>146883.53</v>
      </c>
      <c r="CQ49">
        <f t="shared" si="86"/>
        <v>482.6</v>
      </c>
      <c r="CR49">
        <f t="shared" si="87"/>
        <v>0</v>
      </c>
      <c r="CS49">
        <f t="shared" si="88"/>
        <v>0</v>
      </c>
      <c r="CT49">
        <f t="shared" si="89"/>
        <v>0</v>
      </c>
      <c r="CU49">
        <f t="shared" si="90"/>
        <v>0</v>
      </c>
      <c r="CV49">
        <f t="shared" si="91"/>
        <v>0</v>
      </c>
      <c r="CW49">
        <f t="shared" si="92"/>
        <v>0</v>
      </c>
      <c r="CX49">
        <f t="shared" si="92"/>
        <v>0</v>
      </c>
      <c r="CY49">
        <f t="shared" si="93"/>
        <v>0</v>
      </c>
      <c r="CZ49">
        <f t="shared" si="94"/>
        <v>0</v>
      </c>
      <c r="DC49" t="s">
        <v>6</v>
      </c>
      <c r="DD49" t="s">
        <v>6</v>
      </c>
      <c r="DE49" t="s">
        <v>6</v>
      </c>
      <c r="DF49" t="s">
        <v>6</v>
      </c>
      <c r="DG49" t="s">
        <v>6</v>
      </c>
      <c r="DH49" t="s">
        <v>6</v>
      </c>
      <c r="DI49" t="s">
        <v>6</v>
      </c>
      <c r="DJ49" t="s">
        <v>6</v>
      </c>
      <c r="DK49" t="s">
        <v>6</v>
      </c>
      <c r="DL49" t="s">
        <v>6</v>
      </c>
      <c r="DM49" t="s">
        <v>6</v>
      </c>
      <c r="DN49">
        <v>149</v>
      </c>
      <c r="DO49">
        <v>158</v>
      </c>
      <c r="DP49">
        <v>1.0469999999999999</v>
      </c>
      <c r="DQ49">
        <v>1.079</v>
      </c>
      <c r="DU49">
        <v>1002</v>
      </c>
      <c r="DV49" t="s">
        <v>83</v>
      </c>
      <c r="DW49" t="s">
        <v>83</v>
      </c>
      <c r="DX49">
        <v>1</v>
      </c>
      <c r="EE49">
        <v>44065810</v>
      </c>
      <c r="EF49">
        <v>30</v>
      </c>
      <c r="EG49" t="s">
        <v>29</v>
      </c>
      <c r="EH49">
        <v>0</v>
      </c>
      <c r="EI49" t="s">
        <v>6</v>
      </c>
      <c r="EJ49">
        <v>1</v>
      </c>
      <c r="EK49">
        <v>1989</v>
      </c>
      <c r="EL49" t="s">
        <v>68</v>
      </c>
      <c r="EM49" t="s">
        <v>69</v>
      </c>
      <c r="EO49" t="s">
        <v>6</v>
      </c>
      <c r="EQ49">
        <v>0</v>
      </c>
      <c r="ER49">
        <v>95.37</v>
      </c>
      <c r="ES49">
        <v>95.37</v>
      </c>
      <c r="ET49">
        <v>0</v>
      </c>
      <c r="EU49">
        <v>0</v>
      </c>
      <c r="EV49">
        <v>0</v>
      </c>
      <c r="EW49">
        <v>0</v>
      </c>
      <c r="EX49">
        <v>0</v>
      </c>
      <c r="FQ49">
        <v>0</v>
      </c>
      <c r="FR49">
        <f t="shared" si="95"/>
        <v>0</v>
      </c>
      <c r="FS49">
        <v>0</v>
      </c>
      <c r="FX49">
        <v>149</v>
      </c>
      <c r="FY49">
        <v>158</v>
      </c>
      <c r="GA49" t="s">
        <v>6</v>
      </c>
      <c r="GD49">
        <v>0</v>
      </c>
      <c r="GF49">
        <v>-360054125</v>
      </c>
      <c r="GG49">
        <v>2</v>
      </c>
      <c r="GH49">
        <v>1</v>
      </c>
      <c r="GI49">
        <v>2</v>
      </c>
      <c r="GJ49">
        <v>0</v>
      </c>
      <c r="GK49">
        <f>ROUND(R49*(R12)/100,2)</f>
        <v>0</v>
      </c>
      <c r="GL49">
        <f t="shared" si="96"/>
        <v>0</v>
      </c>
      <c r="GM49">
        <f t="shared" si="97"/>
        <v>146883.53</v>
      </c>
      <c r="GN49">
        <f t="shared" si="98"/>
        <v>146883.53</v>
      </c>
      <c r="GO49">
        <f t="shared" si="99"/>
        <v>0</v>
      </c>
      <c r="GP49">
        <f t="shared" si="100"/>
        <v>0</v>
      </c>
      <c r="GR49">
        <v>0</v>
      </c>
      <c r="GS49">
        <v>0</v>
      </c>
      <c r="GT49">
        <v>0</v>
      </c>
      <c r="GU49" t="s">
        <v>6</v>
      </c>
      <c r="GV49">
        <f t="shared" si="101"/>
        <v>0</v>
      </c>
      <c r="GW49">
        <v>1</v>
      </c>
      <c r="GX49">
        <f t="shared" si="102"/>
        <v>0</v>
      </c>
      <c r="HA49">
        <v>0</v>
      </c>
      <c r="HB49">
        <v>0</v>
      </c>
      <c r="HC49">
        <f t="shared" si="103"/>
        <v>0</v>
      </c>
      <c r="IK49">
        <v>0</v>
      </c>
    </row>
    <row r="50" spans="1:245" x14ac:dyDescent="0.2">
      <c r="A50">
        <v>17</v>
      </c>
      <c r="B50">
        <v>1</v>
      </c>
      <c r="C50">
        <f>ROW(SmtRes!A45)</f>
        <v>45</v>
      </c>
      <c r="D50">
        <f>ROW(EtalonRes!A43)</f>
        <v>43</v>
      </c>
      <c r="E50" t="s">
        <v>102</v>
      </c>
      <c r="F50" t="s">
        <v>86</v>
      </c>
      <c r="G50" t="s">
        <v>87</v>
      </c>
      <c r="H50" t="s">
        <v>88</v>
      </c>
      <c r="I50">
        <v>6</v>
      </c>
      <c r="J50">
        <v>0</v>
      </c>
      <c r="O50">
        <f t="shared" si="68"/>
        <v>389.94</v>
      </c>
      <c r="P50">
        <f t="shared" si="69"/>
        <v>0</v>
      </c>
      <c r="Q50">
        <f t="shared" si="70"/>
        <v>389.94</v>
      </c>
      <c r="R50">
        <f t="shared" si="71"/>
        <v>79.510000000000005</v>
      </c>
      <c r="S50">
        <f t="shared" si="72"/>
        <v>0</v>
      </c>
      <c r="T50">
        <f t="shared" si="73"/>
        <v>0</v>
      </c>
      <c r="U50">
        <f t="shared" si="74"/>
        <v>0</v>
      </c>
      <c r="V50">
        <f t="shared" si="75"/>
        <v>0</v>
      </c>
      <c r="W50">
        <f t="shared" si="76"/>
        <v>0</v>
      </c>
      <c r="X50">
        <f t="shared" si="77"/>
        <v>0</v>
      </c>
      <c r="Y50">
        <f t="shared" si="77"/>
        <v>0</v>
      </c>
      <c r="AA50">
        <v>44175489</v>
      </c>
      <c r="AB50">
        <f t="shared" si="78"/>
        <v>25.7</v>
      </c>
      <c r="AC50">
        <f t="shared" si="79"/>
        <v>0</v>
      </c>
      <c r="AD50">
        <f t="shared" si="80"/>
        <v>25.7</v>
      </c>
      <c r="AE50">
        <f t="shared" si="81"/>
        <v>0.57999999999999996</v>
      </c>
      <c r="AF50">
        <f t="shared" si="81"/>
        <v>0</v>
      </c>
      <c r="AG50">
        <f t="shared" si="82"/>
        <v>0</v>
      </c>
      <c r="AH50">
        <f t="shared" si="83"/>
        <v>0</v>
      </c>
      <c r="AI50">
        <f t="shared" si="83"/>
        <v>0</v>
      </c>
      <c r="AJ50">
        <f t="shared" si="84"/>
        <v>0</v>
      </c>
      <c r="AK50">
        <v>25.7</v>
      </c>
      <c r="AL50">
        <v>0</v>
      </c>
      <c r="AM50">
        <v>25.7</v>
      </c>
      <c r="AN50">
        <v>0.57999999999999996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106</v>
      </c>
      <c r="AU50">
        <v>53</v>
      </c>
      <c r="AV50">
        <v>1.0669999999999999</v>
      </c>
      <c r="AW50">
        <v>1.0029999999999999</v>
      </c>
      <c r="AZ50">
        <v>1</v>
      </c>
      <c r="BA50">
        <v>21.43</v>
      </c>
      <c r="BB50">
        <v>2.37</v>
      </c>
      <c r="BC50">
        <v>1</v>
      </c>
      <c r="BD50" t="s">
        <v>6</v>
      </c>
      <c r="BE50" t="s">
        <v>6</v>
      </c>
      <c r="BF50" t="s">
        <v>6</v>
      </c>
      <c r="BG50" t="s">
        <v>6</v>
      </c>
      <c r="BH50">
        <v>0</v>
      </c>
      <c r="BI50">
        <v>1</v>
      </c>
      <c r="BJ50" t="s">
        <v>89</v>
      </c>
      <c r="BM50">
        <v>140</v>
      </c>
      <c r="BN50">
        <v>0</v>
      </c>
      <c r="BO50" t="s">
        <v>86</v>
      </c>
      <c r="BP50">
        <v>1</v>
      </c>
      <c r="BQ50">
        <v>30</v>
      </c>
      <c r="BR50">
        <v>0</v>
      </c>
      <c r="BS50">
        <v>21.43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6</v>
      </c>
      <c r="BZ50">
        <v>106</v>
      </c>
      <c r="CA50">
        <v>53</v>
      </c>
      <c r="CE50">
        <v>30</v>
      </c>
      <c r="CF50">
        <v>0</v>
      </c>
      <c r="CG50">
        <v>0</v>
      </c>
      <c r="CM50">
        <v>0</v>
      </c>
      <c r="CN50" t="s">
        <v>6</v>
      </c>
      <c r="CO50">
        <v>0</v>
      </c>
      <c r="CP50">
        <f t="shared" si="85"/>
        <v>389.94</v>
      </c>
      <c r="CQ50">
        <f t="shared" si="86"/>
        <v>0</v>
      </c>
      <c r="CR50">
        <f t="shared" si="87"/>
        <v>64.989999999999995</v>
      </c>
      <c r="CS50">
        <f t="shared" si="88"/>
        <v>13.29</v>
      </c>
      <c r="CT50">
        <f t="shared" si="89"/>
        <v>0</v>
      </c>
      <c r="CU50">
        <f t="shared" si="90"/>
        <v>0</v>
      </c>
      <c r="CV50">
        <f t="shared" si="91"/>
        <v>0</v>
      </c>
      <c r="CW50">
        <f t="shared" si="92"/>
        <v>0</v>
      </c>
      <c r="CX50">
        <f t="shared" si="92"/>
        <v>0</v>
      </c>
      <c r="CY50">
        <f t="shared" si="93"/>
        <v>0</v>
      </c>
      <c r="CZ50">
        <f t="shared" si="94"/>
        <v>0</v>
      </c>
      <c r="DC50" t="s">
        <v>6</v>
      </c>
      <c r="DD50" t="s">
        <v>6</v>
      </c>
      <c r="DE50" t="s">
        <v>6</v>
      </c>
      <c r="DF50" t="s">
        <v>6</v>
      </c>
      <c r="DG50" t="s">
        <v>6</v>
      </c>
      <c r="DH50" t="s">
        <v>6</v>
      </c>
      <c r="DI50" t="s">
        <v>6</v>
      </c>
      <c r="DJ50" t="s">
        <v>6</v>
      </c>
      <c r="DK50" t="s">
        <v>6</v>
      </c>
      <c r="DL50" t="s">
        <v>6</v>
      </c>
      <c r="DM50" t="s">
        <v>6</v>
      </c>
      <c r="DN50">
        <v>133</v>
      </c>
      <c r="DO50">
        <v>113</v>
      </c>
      <c r="DP50">
        <v>1.0669999999999999</v>
      </c>
      <c r="DQ50">
        <v>1.0029999999999999</v>
      </c>
      <c r="DU50">
        <v>1013</v>
      </c>
      <c r="DV50" t="s">
        <v>88</v>
      </c>
      <c r="DW50" t="s">
        <v>88</v>
      </c>
      <c r="DX50">
        <v>1</v>
      </c>
      <c r="EE50">
        <v>44063959</v>
      </c>
      <c r="EF50">
        <v>30</v>
      </c>
      <c r="EG50" t="s">
        <v>29</v>
      </c>
      <c r="EH50">
        <v>0</v>
      </c>
      <c r="EI50" t="s">
        <v>6</v>
      </c>
      <c r="EJ50">
        <v>1</v>
      </c>
      <c r="EK50">
        <v>140</v>
      </c>
      <c r="EL50" t="s">
        <v>90</v>
      </c>
      <c r="EM50" t="s">
        <v>91</v>
      </c>
      <c r="EO50" t="s">
        <v>6</v>
      </c>
      <c r="EQ50">
        <v>131072</v>
      </c>
      <c r="ER50">
        <v>25.7</v>
      </c>
      <c r="ES50">
        <v>0</v>
      </c>
      <c r="ET50">
        <v>25.7</v>
      </c>
      <c r="EU50">
        <v>0.57999999999999996</v>
      </c>
      <c r="EV50">
        <v>0</v>
      </c>
      <c r="EW50">
        <v>0</v>
      </c>
      <c r="EX50">
        <v>0</v>
      </c>
      <c r="EY50">
        <v>0</v>
      </c>
      <c r="FQ50">
        <v>0</v>
      </c>
      <c r="FR50">
        <f t="shared" si="95"/>
        <v>0</v>
      </c>
      <c r="FS50">
        <v>0</v>
      </c>
      <c r="FX50">
        <v>133</v>
      </c>
      <c r="FY50">
        <v>113</v>
      </c>
      <c r="GA50" t="s">
        <v>6</v>
      </c>
      <c r="GD50">
        <v>0</v>
      </c>
      <c r="GF50">
        <v>275578643</v>
      </c>
      <c r="GG50">
        <v>2</v>
      </c>
      <c r="GH50">
        <v>1</v>
      </c>
      <c r="GI50">
        <v>2</v>
      </c>
      <c r="GJ50">
        <v>0</v>
      </c>
      <c r="GK50">
        <f>ROUND(R50*(R12)/100,2)</f>
        <v>124.83</v>
      </c>
      <c r="GL50">
        <f t="shared" si="96"/>
        <v>0</v>
      </c>
      <c r="GM50">
        <f t="shared" si="97"/>
        <v>514.77</v>
      </c>
      <c r="GN50">
        <f t="shared" si="98"/>
        <v>514.77</v>
      </c>
      <c r="GO50">
        <f t="shared" si="99"/>
        <v>0</v>
      </c>
      <c r="GP50">
        <f t="shared" si="100"/>
        <v>0</v>
      </c>
      <c r="GR50">
        <v>0</v>
      </c>
      <c r="GS50">
        <v>0</v>
      </c>
      <c r="GT50">
        <v>0</v>
      </c>
      <c r="GU50" t="s">
        <v>6</v>
      </c>
      <c r="GV50">
        <f t="shared" si="101"/>
        <v>0</v>
      </c>
      <c r="GW50">
        <v>1</v>
      </c>
      <c r="GX50">
        <f t="shared" si="102"/>
        <v>0</v>
      </c>
      <c r="HA50">
        <v>0</v>
      </c>
      <c r="HB50">
        <v>0</v>
      </c>
      <c r="HC50">
        <f t="shared" si="103"/>
        <v>0</v>
      </c>
      <c r="IK50">
        <v>0</v>
      </c>
    </row>
    <row r="51" spans="1:245" x14ac:dyDescent="0.2">
      <c r="A51">
        <v>17</v>
      </c>
      <c r="B51">
        <v>1</v>
      </c>
      <c r="C51">
        <f>ROW(SmtRes!A47)</f>
        <v>47</v>
      </c>
      <c r="D51">
        <f>ROW(EtalonRes!A45)</f>
        <v>45</v>
      </c>
      <c r="E51" t="s">
        <v>103</v>
      </c>
      <c r="F51" t="s">
        <v>93</v>
      </c>
      <c r="G51" t="s">
        <v>94</v>
      </c>
      <c r="H51" t="s">
        <v>59</v>
      </c>
      <c r="I51">
        <v>1</v>
      </c>
      <c r="J51">
        <v>0</v>
      </c>
      <c r="O51">
        <f t="shared" si="68"/>
        <v>3203.39</v>
      </c>
      <c r="P51">
        <f t="shared" si="69"/>
        <v>0</v>
      </c>
      <c r="Q51">
        <f t="shared" si="70"/>
        <v>3129.89</v>
      </c>
      <c r="R51">
        <f t="shared" si="71"/>
        <v>434.17</v>
      </c>
      <c r="S51">
        <f t="shared" si="72"/>
        <v>73.5</v>
      </c>
      <c r="T51">
        <f t="shared" si="73"/>
        <v>0</v>
      </c>
      <c r="U51">
        <f t="shared" si="74"/>
        <v>0.27222000000000002</v>
      </c>
      <c r="V51">
        <f t="shared" si="75"/>
        <v>0</v>
      </c>
      <c r="W51">
        <f t="shared" si="76"/>
        <v>0</v>
      </c>
      <c r="X51">
        <f t="shared" si="77"/>
        <v>87.47</v>
      </c>
      <c r="Y51">
        <f t="shared" si="77"/>
        <v>55.13</v>
      </c>
      <c r="AA51">
        <v>44175489</v>
      </c>
      <c r="AB51">
        <f t="shared" si="78"/>
        <v>509.96</v>
      </c>
      <c r="AC51">
        <f t="shared" si="79"/>
        <v>0</v>
      </c>
      <c r="AD51">
        <f t="shared" si="80"/>
        <v>506.68</v>
      </c>
      <c r="AE51">
        <f t="shared" si="81"/>
        <v>19.350000000000001</v>
      </c>
      <c r="AF51">
        <f t="shared" si="81"/>
        <v>3.28</v>
      </c>
      <c r="AG51">
        <f t="shared" si="82"/>
        <v>0</v>
      </c>
      <c r="AH51">
        <f t="shared" si="83"/>
        <v>0.26</v>
      </c>
      <c r="AI51">
        <f t="shared" si="83"/>
        <v>0</v>
      </c>
      <c r="AJ51">
        <f t="shared" si="84"/>
        <v>0</v>
      </c>
      <c r="AK51">
        <v>509.96</v>
      </c>
      <c r="AL51">
        <v>0</v>
      </c>
      <c r="AM51">
        <v>506.68</v>
      </c>
      <c r="AN51">
        <v>19.350000000000001</v>
      </c>
      <c r="AO51">
        <v>3.28</v>
      </c>
      <c r="AP51">
        <v>0</v>
      </c>
      <c r="AQ51">
        <v>0.26</v>
      </c>
      <c r="AR51">
        <v>0</v>
      </c>
      <c r="AS51">
        <v>0</v>
      </c>
      <c r="AT51">
        <v>119</v>
      </c>
      <c r="AU51">
        <v>75</v>
      </c>
      <c r="AV51">
        <v>1.0469999999999999</v>
      </c>
      <c r="AW51">
        <v>1.079</v>
      </c>
      <c r="AZ51">
        <v>1</v>
      </c>
      <c r="BA51">
        <v>21.43</v>
      </c>
      <c r="BB51">
        <v>5.9</v>
      </c>
      <c r="BC51">
        <v>1</v>
      </c>
      <c r="BD51" t="s">
        <v>6</v>
      </c>
      <c r="BE51" t="s">
        <v>6</v>
      </c>
      <c r="BF51" t="s">
        <v>6</v>
      </c>
      <c r="BG51" t="s">
        <v>6</v>
      </c>
      <c r="BH51">
        <v>0</v>
      </c>
      <c r="BI51">
        <v>1</v>
      </c>
      <c r="BJ51" t="s">
        <v>95</v>
      </c>
      <c r="BM51">
        <v>1987</v>
      </c>
      <c r="BN51">
        <v>0</v>
      </c>
      <c r="BO51" t="s">
        <v>93</v>
      </c>
      <c r="BP51">
        <v>1</v>
      </c>
      <c r="BQ51">
        <v>30</v>
      </c>
      <c r="BR51">
        <v>0</v>
      </c>
      <c r="BS51">
        <v>21.43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6</v>
      </c>
      <c r="BZ51">
        <v>119</v>
      </c>
      <c r="CA51">
        <v>75</v>
      </c>
      <c r="CE51">
        <v>30</v>
      </c>
      <c r="CF51">
        <v>0</v>
      </c>
      <c r="CG51">
        <v>0</v>
      </c>
      <c r="CM51">
        <v>0</v>
      </c>
      <c r="CN51" t="s">
        <v>6</v>
      </c>
      <c r="CO51">
        <v>0</v>
      </c>
      <c r="CP51">
        <f t="shared" si="85"/>
        <v>3203.39</v>
      </c>
      <c r="CQ51">
        <f t="shared" si="86"/>
        <v>0</v>
      </c>
      <c r="CR51">
        <f t="shared" si="87"/>
        <v>3129.89</v>
      </c>
      <c r="CS51">
        <f t="shared" si="88"/>
        <v>434.17</v>
      </c>
      <c r="CT51">
        <f t="shared" si="89"/>
        <v>73.5</v>
      </c>
      <c r="CU51">
        <f t="shared" si="90"/>
        <v>0</v>
      </c>
      <c r="CV51">
        <f t="shared" si="91"/>
        <v>0.27222000000000002</v>
      </c>
      <c r="CW51">
        <f t="shared" si="92"/>
        <v>0</v>
      </c>
      <c r="CX51">
        <f t="shared" si="92"/>
        <v>0</v>
      </c>
      <c r="CY51">
        <f t="shared" si="93"/>
        <v>87.464999999999989</v>
      </c>
      <c r="CZ51">
        <f t="shared" si="94"/>
        <v>55.125</v>
      </c>
      <c r="DC51" t="s">
        <v>6</v>
      </c>
      <c r="DD51" t="s">
        <v>6</v>
      </c>
      <c r="DE51" t="s">
        <v>6</v>
      </c>
      <c r="DF51" t="s">
        <v>6</v>
      </c>
      <c r="DG51" t="s">
        <v>6</v>
      </c>
      <c r="DH51" t="s">
        <v>6</v>
      </c>
      <c r="DI51" t="s">
        <v>6</v>
      </c>
      <c r="DJ51" t="s">
        <v>6</v>
      </c>
      <c r="DK51" t="s">
        <v>6</v>
      </c>
      <c r="DL51" t="s">
        <v>6</v>
      </c>
      <c r="DM51" t="s">
        <v>6</v>
      </c>
      <c r="DN51">
        <v>149</v>
      </c>
      <c r="DO51">
        <v>158</v>
      </c>
      <c r="DP51">
        <v>1.0469999999999999</v>
      </c>
      <c r="DQ51">
        <v>1.079</v>
      </c>
      <c r="DU51">
        <v>1013</v>
      </c>
      <c r="DV51" t="s">
        <v>59</v>
      </c>
      <c r="DW51" t="s">
        <v>59</v>
      </c>
      <c r="DX51">
        <v>1</v>
      </c>
      <c r="EE51">
        <v>44065808</v>
      </c>
      <c r="EF51">
        <v>30</v>
      </c>
      <c r="EG51" t="s">
        <v>29</v>
      </c>
      <c r="EH51">
        <v>0</v>
      </c>
      <c r="EI51" t="s">
        <v>6</v>
      </c>
      <c r="EJ51">
        <v>1</v>
      </c>
      <c r="EK51">
        <v>1987</v>
      </c>
      <c r="EL51" t="s">
        <v>61</v>
      </c>
      <c r="EM51" t="s">
        <v>62</v>
      </c>
      <c r="EO51" t="s">
        <v>6</v>
      </c>
      <c r="EQ51">
        <v>131072</v>
      </c>
      <c r="ER51">
        <v>509.96</v>
      </c>
      <c r="ES51">
        <v>0</v>
      </c>
      <c r="ET51">
        <v>506.68</v>
      </c>
      <c r="EU51">
        <v>19.350000000000001</v>
      </c>
      <c r="EV51">
        <v>3.28</v>
      </c>
      <c r="EW51">
        <v>0.26</v>
      </c>
      <c r="EX51">
        <v>0</v>
      </c>
      <c r="EY51">
        <v>0</v>
      </c>
      <c r="FQ51">
        <v>0</v>
      </c>
      <c r="FR51">
        <f t="shared" si="95"/>
        <v>0</v>
      </c>
      <c r="FS51">
        <v>0</v>
      </c>
      <c r="FX51">
        <v>149</v>
      </c>
      <c r="FY51">
        <v>158</v>
      </c>
      <c r="GA51" t="s">
        <v>6</v>
      </c>
      <c r="GD51">
        <v>0</v>
      </c>
      <c r="GF51">
        <v>903041355</v>
      </c>
      <c r="GG51">
        <v>2</v>
      </c>
      <c r="GH51">
        <v>1</v>
      </c>
      <c r="GI51">
        <v>2</v>
      </c>
      <c r="GJ51">
        <v>0</v>
      </c>
      <c r="GK51">
        <f>ROUND(R51*(R12)/100,2)</f>
        <v>681.65</v>
      </c>
      <c r="GL51">
        <f t="shared" si="96"/>
        <v>0</v>
      </c>
      <c r="GM51">
        <f t="shared" si="97"/>
        <v>4027.64</v>
      </c>
      <c r="GN51">
        <f t="shared" si="98"/>
        <v>4027.64</v>
      </c>
      <c r="GO51">
        <f t="shared" si="99"/>
        <v>0</v>
      </c>
      <c r="GP51">
        <f t="shared" si="100"/>
        <v>0</v>
      </c>
      <c r="GR51">
        <v>0</v>
      </c>
      <c r="GS51">
        <v>0</v>
      </c>
      <c r="GT51">
        <v>0</v>
      </c>
      <c r="GU51" t="s">
        <v>6</v>
      </c>
      <c r="GV51">
        <f t="shared" si="101"/>
        <v>0</v>
      </c>
      <c r="GW51">
        <v>1</v>
      </c>
      <c r="GX51">
        <f t="shared" si="102"/>
        <v>0</v>
      </c>
      <c r="HA51">
        <v>0</v>
      </c>
      <c r="HB51">
        <v>0</v>
      </c>
      <c r="HC51">
        <f t="shared" si="103"/>
        <v>0</v>
      </c>
      <c r="IK51">
        <v>0</v>
      </c>
    </row>
    <row r="52" spans="1:245" x14ac:dyDescent="0.2">
      <c r="A52">
        <v>19</v>
      </c>
      <c r="B52">
        <v>1</v>
      </c>
      <c r="F52" t="s">
        <v>6</v>
      </c>
      <c r="G52" t="s">
        <v>104</v>
      </c>
      <c r="H52" t="s">
        <v>6</v>
      </c>
      <c r="AA52">
        <v>1</v>
      </c>
      <c r="IK52">
        <v>0</v>
      </c>
    </row>
    <row r="53" spans="1:245" x14ac:dyDescent="0.2">
      <c r="A53">
        <v>17</v>
      </c>
      <c r="B53">
        <v>1</v>
      </c>
      <c r="C53">
        <f>ROW(SmtRes!A50)</f>
        <v>50</v>
      </c>
      <c r="D53">
        <f>ROW(EtalonRes!A48)</f>
        <v>48</v>
      </c>
      <c r="E53" t="s">
        <v>105</v>
      </c>
      <c r="F53" t="s">
        <v>57</v>
      </c>
      <c r="G53" t="s">
        <v>58</v>
      </c>
      <c r="H53" t="s">
        <v>59</v>
      </c>
      <c r="I53">
        <v>1</v>
      </c>
      <c r="J53">
        <v>0</v>
      </c>
      <c r="O53">
        <f t="shared" ref="O53:O59" si="104">ROUND(CP53,2)</f>
        <v>8086.67</v>
      </c>
      <c r="P53">
        <f t="shared" ref="P53:P59" si="105">ROUND((ROUND((AC53*AW53*I53),2)*BC53),2)</f>
        <v>0</v>
      </c>
      <c r="Q53">
        <f t="shared" ref="Q53:Q59" si="106">(ROUND((ROUND(((ET53)*AV53*I53),2)*BB53),2)+ROUND((ROUND(((AE53-(EU53))*AV53*I53),2)*BS53),2))</f>
        <v>7916.73</v>
      </c>
      <c r="R53">
        <f t="shared" ref="R53:R59" si="107">ROUND((ROUND((AE53*AV53*I53),2)*BS53),2)</f>
        <v>1315.37</v>
      </c>
      <c r="S53">
        <f t="shared" ref="S53:S59" si="108">ROUND((ROUND((AF53*AV53*I53),2)*BA53),2)</f>
        <v>169.94</v>
      </c>
      <c r="T53">
        <f t="shared" ref="T53:T59" si="109">ROUND(CU53*I53,2)</f>
        <v>0</v>
      </c>
      <c r="U53">
        <f t="shared" ref="U53:U59" si="110">CV53*I53</f>
        <v>0.62819999999999998</v>
      </c>
      <c r="V53">
        <f t="shared" ref="V53:V59" si="111">CW53*I53</f>
        <v>0</v>
      </c>
      <c r="W53">
        <f t="shared" ref="W53:W59" si="112">ROUND(CX53*I53,2)</f>
        <v>0</v>
      </c>
      <c r="X53">
        <f t="shared" ref="X53:Y59" si="113">ROUND(CY53,2)</f>
        <v>202.23</v>
      </c>
      <c r="Y53">
        <f t="shared" si="113"/>
        <v>127.46</v>
      </c>
      <c r="AA53">
        <v>44175489</v>
      </c>
      <c r="AB53">
        <f t="shared" ref="AB53:AB59" si="114">ROUND((AC53+AD53+AF53),6)</f>
        <v>1245.1099999999999</v>
      </c>
      <c r="AC53">
        <f t="shared" ref="AC53:AC59" si="115">ROUND((ES53),6)</f>
        <v>0</v>
      </c>
      <c r="AD53">
        <f t="shared" ref="AD53:AD59" si="116">ROUND((((ET53)-(EU53))+AE53),6)</f>
        <v>1237.54</v>
      </c>
      <c r="AE53">
        <f t="shared" ref="AE53:AF59" si="117">ROUND((EU53),6)</f>
        <v>58.62</v>
      </c>
      <c r="AF53">
        <f t="shared" si="117"/>
        <v>7.57</v>
      </c>
      <c r="AG53">
        <f t="shared" ref="AG53:AG59" si="118">ROUND((AP53),6)</f>
        <v>0</v>
      </c>
      <c r="AH53">
        <f t="shared" ref="AH53:AI59" si="119">(EW53)</f>
        <v>0.6</v>
      </c>
      <c r="AI53">
        <f t="shared" si="119"/>
        <v>0</v>
      </c>
      <c r="AJ53">
        <f t="shared" ref="AJ53:AJ59" si="120">(AS53)</f>
        <v>0</v>
      </c>
      <c r="AK53">
        <v>1245.1099999999999</v>
      </c>
      <c r="AL53">
        <v>0</v>
      </c>
      <c r="AM53">
        <v>1237.54</v>
      </c>
      <c r="AN53">
        <v>58.62</v>
      </c>
      <c r="AO53">
        <v>7.57</v>
      </c>
      <c r="AP53">
        <v>0</v>
      </c>
      <c r="AQ53">
        <v>0.6</v>
      </c>
      <c r="AR53">
        <v>0</v>
      </c>
      <c r="AS53">
        <v>0</v>
      </c>
      <c r="AT53">
        <v>119</v>
      </c>
      <c r="AU53">
        <v>75</v>
      </c>
      <c r="AV53">
        <v>1.0469999999999999</v>
      </c>
      <c r="AW53">
        <v>1.079</v>
      </c>
      <c r="AZ53">
        <v>1</v>
      </c>
      <c r="BA53">
        <v>21.43</v>
      </c>
      <c r="BB53">
        <v>6.11</v>
      </c>
      <c r="BC53">
        <v>1</v>
      </c>
      <c r="BD53" t="s">
        <v>6</v>
      </c>
      <c r="BE53" t="s">
        <v>6</v>
      </c>
      <c r="BF53" t="s">
        <v>6</v>
      </c>
      <c r="BG53" t="s">
        <v>6</v>
      </c>
      <c r="BH53">
        <v>0</v>
      </c>
      <c r="BI53">
        <v>1</v>
      </c>
      <c r="BJ53" t="s">
        <v>60</v>
      </c>
      <c r="BM53">
        <v>1987</v>
      </c>
      <c r="BN53">
        <v>0</v>
      </c>
      <c r="BO53" t="s">
        <v>57</v>
      </c>
      <c r="BP53">
        <v>1</v>
      </c>
      <c r="BQ53">
        <v>30</v>
      </c>
      <c r="BR53">
        <v>0</v>
      </c>
      <c r="BS53">
        <v>21.43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6</v>
      </c>
      <c r="BZ53">
        <v>119</v>
      </c>
      <c r="CA53">
        <v>75</v>
      </c>
      <c r="CE53">
        <v>30</v>
      </c>
      <c r="CF53">
        <v>0</v>
      </c>
      <c r="CG53">
        <v>0</v>
      </c>
      <c r="CM53">
        <v>0</v>
      </c>
      <c r="CN53" t="s">
        <v>6</v>
      </c>
      <c r="CO53">
        <v>0</v>
      </c>
      <c r="CP53">
        <f t="shared" ref="CP53:CP59" si="121">(P53+Q53+S53)</f>
        <v>8086.6699999999992</v>
      </c>
      <c r="CQ53">
        <f t="shared" ref="CQ53:CQ59" si="122">ROUND((ROUND((AC53*AW53*1),2)*BC53),2)</f>
        <v>0</v>
      </c>
      <c r="CR53">
        <f t="shared" ref="CR53:CR59" si="123">(ROUND((ROUND(((ET53)*AV53*1),2)*BB53),2)+ROUND((ROUND(((AE53-(EU53))*AV53*1),2)*BS53),2))</f>
        <v>7916.73</v>
      </c>
      <c r="CS53">
        <f t="shared" ref="CS53:CS59" si="124">ROUND((ROUND((AE53*AV53*1),2)*BS53),2)</f>
        <v>1315.37</v>
      </c>
      <c r="CT53">
        <f t="shared" ref="CT53:CT59" si="125">ROUND((ROUND((AF53*AV53*1),2)*BA53),2)</f>
        <v>169.94</v>
      </c>
      <c r="CU53">
        <f t="shared" ref="CU53:CU59" si="126">AG53</f>
        <v>0</v>
      </c>
      <c r="CV53">
        <f t="shared" ref="CV53:CV59" si="127">(AH53*AV53)</f>
        <v>0.62819999999999998</v>
      </c>
      <c r="CW53">
        <f t="shared" ref="CW53:CX59" si="128">AI53</f>
        <v>0</v>
      </c>
      <c r="CX53">
        <f t="shared" si="128"/>
        <v>0</v>
      </c>
      <c r="CY53">
        <f t="shared" ref="CY53:CY59" si="129">S53*(BZ53/100)</f>
        <v>202.2286</v>
      </c>
      <c r="CZ53">
        <f t="shared" ref="CZ53:CZ59" si="130">S53*(CA53/100)</f>
        <v>127.455</v>
      </c>
      <c r="DC53" t="s">
        <v>6</v>
      </c>
      <c r="DD53" t="s">
        <v>6</v>
      </c>
      <c r="DE53" t="s">
        <v>6</v>
      </c>
      <c r="DF53" t="s">
        <v>6</v>
      </c>
      <c r="DG53" t="s">
        <v>6</v>
      </c>
      <c r="DH53" t="s">
        <v>6</v>
      </c>
      <c r="DI53" t="s">
        <v>6</v>
      </c>
      <c r="DJ53" t="s">
        <v>6</v>
      </c>
      <c r="DK53" t="s">
        <v>6</v>
      </c>
      <c r="DL53" t="s">
        <v>6</v>
      </c>
      <c r="DM53" t="s">
        <v>6</v>
      </c>
      <c r="DN53">
        <v>149</v>
      </c>
      <c r="DO53">
        <v>158</v>
      </c>
      <c r="DP53">
        <v>1.0469999999999999</v>
      </c>
      <c r="DQ53">
        <v>1.079</v>
      </c>
      <c r="DU53">
        <v>1013</v>
      </c>
      <c r="DV53" t="s">
        <v>59</v>
      </c>
      <c r="DW53" t="s">
        <v>59</v>
      </c>
      <c r="DX53">
        <v>1</v>
      </c>
      <c r="EE53">
        <v>44065808</v>
      </c>
      <c r="EF53">
        <v>30</v>
      </c>
      <c r="EG53" t="s">
        <v>29</v>
      </c>
      <c r="EH53">
        <v>0</v>
      </c>
      <c r="EI53" t="s">
        <v>6</v>
      </c>
      <c r="EJ53">
        <v>1</v>
      </c>
      <c r="EK53">
        <v>1987</v>
      </c>
      <c r="EL53" t="s">
        <v>61</v>
      </c>
      <c r="EM53" t="s">
        <v>62</v>
      </c>
      <c r="EO53" t="s">
        <v>6</v>
      </c>
      <c r="EQ53">
        <v>131072</v>
      </c>
      <c r="ER53">
        <v>1245.1099999999999</v>
      </c>
      <c r="ES53">
        <v>0</v>
      </c>
      <c r="ET53">
        <v>1237.54</v>
      </c>
      <c r="EU53">
        <v>58.62</v>
      </c>
      <c r="EV53">
        <v>7.57</v>
      </c>
      <c r="EW53">
        <v>0.6</v>
      </c>
      <c r="EX53">
        <v>0</v>
      </c>
      <c r="EY53">
        <v>0</v>
      </c>
      <c r="FQ53">
        <v>0</v>
      </c>
      <c r="FR53">
        <f t="shared" ref="FR53:FR59" si="131">ROUND(IF(AND(BH53=3,BI53=3),P53,0),2)</f>
        <v>0</v>
      </c>
      <c r="FS53">
        <v>0</v>
      </c>
      <c r="FX53">
        <v>149</v>
      </c>
      <c r="FY53">
        <v>158</v>
      </c>
      <c r="GA53" t="s">
        <v>6</v>
      </c>
      <c r="GD53">
        <v>0</v>
      </c>
      <c r="GF53">
        <v>116028939</v>
      </c>
      <c r="GG53">
        <v>2</v>
      </c>
      <c r="GH53">
        <v>1</v>
      </c>
      <c r="GI53">
        <v>2</v>
      </c>
      <c r="GJ53">
        <v>0</v>
      </c>
      <c r="GK53">
        <f>ROUND(R53*(R12)/100,2)</f>
        <v>2065.13</v>
      </c>
      <c r="GL53">
        <f t="shared" ref="GL53:GL59" si="132">ROUND(IF(AND(BH53=3,BI53=3,FS53&lt;&gt;0),P53,0),2)</f>
        <v>0</v>
      </c>
      <c r="GM53">
        <f t="shared" ref="GM53:GM59" si="133">ROUND(O53+X53+Y53+GK53,2)+GX53</f>
        <v>10481.49</v>
      </c>
      <c r="GN53">
        <f t="shared" ref="GN53:GN59" si="134">IF(OR(BI53=0,BI53=1),ROUND(O53+X53+Y53+GK53,2),0)</f>
        <v>10481.49</v>
      </c>
      <c r="GO53">
        <f t="shared" ref="GO53:GO59" si="135">IF(BI53=2,ROUND(O53+X53+Y53+GK53,2),0)</f>
        <v>0</v>
      </c>
      <c r="GP53">
        <f t="shared" ref="GP53:GP59" si="136">IF(BI53=4,ROUND(O53+X53+Y53+GK53,2)+GX53,0)</f>
        <v>0</v>
      </c>
      <c r="GR53">
        <v>0</v>
      </c>
      <c r="GS53">
        <v>0</v>
      </c>
      <c r="GT53">
        <v>0</v>
      </c>
      <c r="GU53" t="s">
        <v>6</v>
      </c>
      <c r="GV53">
        <f t="shared" ref="GV53:GV59" si="137">ROUND((GT53),6)</f>
        <v>0</v>
      </c>
      <c r="GW53">
        <v>1</v>
      </c>
      <c r="GX53">
        <f t="shared" ref="GX53:GX59" si="138">ROUND(HC53*I53,2)</f>
        <v>0</v>
      </c>
      <c r="HA53">
        <v>0</v>
      </c>
      <c r="HB53">
        <v>0</v>
      </c>
      <c r="HC53">
        <f t="shared" ref="HC53:HC59" si="139">GV53*GW53</f>
        <v>0</v>
      </c>
      <c r="IK53">
        <v>0</v>
      </c>
    </row>
    <row r="54" spans="1:245" x14ac:dyDescent="0.2">
      <c r="A54">
        <v>17</v>
      </c>
      <c r="B54">
        <v>1</v>
      </c>
      <c r="C54">
        <f>ROW(SmtRes!A65)</f>
        <v>65</v>
      </c>
      <c r="D54">
        <f>ROW(EtalonRes!A63)</f>
        <v>63</v>
      </c>
      <c r="E54" t="s">
        <v>106</v>
      </c>
      <c r="F54" t="s">
        <v>64</v>
      </c>
      <c r="G54" t="s">
        <v>65</v>
      </c>
      <c r="H54" t="s">
        <v>66</v>
      </c>
      <c r="I54">
        <v>136</v>
      </c>
      <c r="J54">
        <v>0</v>
      </c>
      <c r="O54">
        <f t="shared" si="104"/>
        <v>1902645.5</v>
      </c>
      <c r="P54">
        <f t="shared" si="105"/>
        <v>22032.95</v>
      </c>
      <c r="Q54">
        <f t="shared" si="106"/>
        <v>1787329.47</v>
      </c>
      <c r="R54">
        <f t="shared" si="107"/>
        <v>339474.99</v>
      </c>
      <c r="S54">
        <f t="shared" si="108"/>
        <v>93283.08</v>
      </c>
      <c r="T54">
        <f t="shared" si="109"/>
        <v>0</v>
      </c>
      <c r="U54">
        <f t="shared" si="110"/>
        <v>316.11023999999998</v>
      </c>
      <c r="V54">
        <f t="shared" si="111"/>
        <v>0</v>
      </c>
      <c r="W54">
        <f t="shared" si="112"/>
        <v>0</v>
      </c>
      <c r="X54">
        <f t="shared" si="113"/>
        <v>111006.87</v>
      </c>
      <c r="Y54">
        <f t="shared" si="113"/>
        <v>69962.31</v>
      </c>
      <c r="AA54">
        <v>44175489</v>
      </c>
      <c r="AB54">
        <f t="shared" si="114"/>
        <v>2071.63</v>
      </c>
      <c r="AC54">
        <f t="shared" si="115"/>
        <v>35.92</v>
      </c>
      <c r="AD54">
        <f t="shared" si="116"/>
        <v>2005.14</v>
      </c>
      <c r="AE54">
        <f t="shared" si="117"/>
        <v>111.25</v>
      </c>
      <c r="AF54">
        <f t="shared" si="117"/>
        <v>30.57</v>
      </c>
      <c r="AG54">
        <f t="shared" si="118"/>
        <v>0</v>
      </c>
      <c r="AH54">
        <f t="shared" si="119"/>
        <v>2.2200000000000002</v>
      </c>
      <c r="AI54">
        <f t="shared" si="119"/>
        <v>0</v>
      </c>
      <c r="AJ54">
        <f t="shared" si="120"/>
        <v>0</v>
      </c>
      <c r="AK54">
        <v>2071.63</v>
      </c>
      <c r="AL54">
        <v>35.92</v>
      </c>
      <c r="AM54">
        <v>2005.14</v>
      </c>
      <c r="AN54">
        <v>111.25</v>
      </c>
      <c r="AO54">
        <v>30.57</v>
      </c>
      <c r="AP54">
        <v>0</v>
      </c>
      <c r="AQ54">
        <v>2.2200000000000002</v>
      </c>
      <c r="AR54">
        <v>0</v>
      </c>
      <c r="AS54">
        <v>0</v>
      </c>
      <c r="AT54">
        <v>119</v>
      </c>
      <c r="AU54">
        <v>75</v>
      </c>
      <c r="AV54">
        <v>1.0469999999999999</v>
      </c>
      <c r="AW54">
        <v>1.079</v>
      </c>
      <c r="AZ54">
        <v>1</v>
      </c>
      <c r="BA54">
        <v>21.43</v>
      </c>
      <c r="BB54">
        <v>6.26</v>
      </c>
      <c r="BC54">
        <v>4.18</v>
      </c>
      <c r="BD54" t="s">
        <v>6</v>
      </c>
      <c r="BE54" t="s">
        <v>6</v>
      </c>
      <c r="BF54" t="s">
        <v>6</v>
      </c>
      <c r="BG54" t="s">
        <v>6</v>
      </c>
      <c r="BH54">
        <v>0</v>
      </c>
      <c r="BI54">
        <v>1</v>
      </c>
      <c r="BJ54" t="s">
        <v>67</v>
      </c>
      <c r="BM54">
        <v>1989</v>
      </c>
      <c r="BN54">
        <v>0</v>
      </c>
      <c r="BO54" t="s">
        <v>64</v>
      </c>
      <c r="BP54">
        <v>1</v>
      </c>
      <c r="BQ54">
        <v>30</v>
      </c>
      <c r="BR54">
        <v>0</v>
      </c>
      <c r="BS54">
        <v>21.43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6</v>
      </c>
      <c r="BZ54">
        <v>119</v>
      </c>
      <c r="CA54">
        <v>75</v>
      </c>
      <c r="CE54">
        <v>30</v>
      </c>
      <c r="CF54">
        <v>0</v>
      </c>
      <c r="CG54">
        <v>0</v>
      </c>
      <c r="CM54">
        <v>0</v>
      </c>
      <c r="CN54" t="s">
        <v>6</v>
      </c>
      <c r="CO54">
        <v>0</v>
      </c>
      <c r="CP54">
        <f t="shared" si="121"/>
        <v>1902645.5</v>
      </c>
      <c r="CQ54">
        <f t="shared" si="122"/>
        <v>162.02000000000001</v>
      </c>
      <c r="CR54">
        <f t="shared" si="123"/>
        <v>13142.12</v>
      </c>
      <c r="CS54">
        <f t="shared" si="124"/>
        <v>2496.17</v>
      </c>
      <c r="CT54">
        <f t="shared" si="125"/>
        <v>685.97</v>
      </c>
      <c r="CU54">
        <f t="shared" si="126"/>
        <v>0</v>
      </c>
      <c r="CV54">
        <f t="shared" si="127"/>
        <v>2.3243399999999999</v>
      </c>
      <c r="CW54">
        <f t="shared" si="128"/>
        <v>0</v>
      </c>
      <c r="CX54">
        <f t="shared" si="128"/>
        <v>0</v>
      </c>
      <c r="CY54">
        <f t="shared" si="129"/>
        <v>111006.8652</v>
      </c>
      <c r="CZ54">
        <f t="shared" si="130"/>
        <v>69962.31</v>
      </c>
      <c r="DC54" t="s">
        <v>6</v>
      </c>
      <c r="DD54" t="s">
        <v>6</v>
      </c>
      <c r="DE54" t="s">
        <v>6</v>
      </c>
      <c r="DF54" t="s">
        <v>6</v>
      </c>
      <c r="DG54" t="s">
        <v>6</v>
      </c>
      <c r="DH54" t="s">
        <v>6</v>
      </c>
      <c r="DI54" t="s">
        <v>6</v>
      </c>
      <c r="DJ54" t="s">
        <v>6</v>
      </c>
      <c r="DK54" t="s">
        <v>6</v>
      </c>
      <c r="DL54" t="s">
        <v>6</v>
      </c>
      <c r="DM54" t="s">
        <v>6</v>
      </c>
      <c r="DN54">
        <v>149</v>
      </c>
      <c r="DO54">
        <v>158</v>
      </c>
      <c r="DP54">
        <v>1.0469999999999999</v>
      </c>
      <c r="DQ54">
        <v>1.079</v>
      </c>
      <c r="DU54">
        <v>1013</v>
      </c>
      <c r="DV54" t="s">
        <v>66</v>
      </c>
      <c r="DW54" t="s">
        <v>66</v>
      </c>
      <c r="DX54">
        <v>1</v>
      </c>
      <c r="EE54">
        <v>44065810</v>
      </c>
      <c r="EF54">
        <v>30</v>
      </c>
      <c r="EG54" t="s">
        <v>29</v>
      </c>
      <c r="EH54">
        <v>0</v>
      </c>
      <c r="EI54" t="s">
        <v>6</v>
      </c>
      <c r="EJ54">
        <v>1</v>
      </c>
      <c r="EK54">
        <v>1989</v>
      </c>
      <c r="EL54" t="s">
        <v>68</v>
      </c>
      <c r="EM54" t="s">
        <v>69</v>
      </c>
      <c r="EO54" t="s">
        <v>6</v>
      </c>
      <c r="EQ54">
        <v>131072</v>
      </c>
      <c r="ER54">
        <v>2071.63</v>
      </c>
      <c r="ES54">
        <v>35.92</v>
      </c>
      <c r="ET54">
        <v>2005.14</v>
      </c>
      <c r="EU54">
        <v>111.25</v>
      </c>
      <c r="EV54">
        <v>30.57</v>
      </c>
      <c r="EW54">
        <v>2.2200000000000002</v>
      </c>
      <c r="EX54">
        <v>0</v>
      </c>
      <c r="EY54">
        <v>0</v>
      </c>
      <c r="FQ54">
        <v>0</v>
      </c>
      <c r="FR54">
        <f t="shared" si="131"/>
        <v>0</v>
      </c>
      <c r="FS54">
        <v>0</v>
      </c>
      <c r="FX54">
        <v>149</v>
      </c>
      <c r="FY54">
        <v>158</v>
      </c>
      <c r="GA54" t="s">
        <v>6</v>
      </c>
      <c r="GD54">
        <v>0</v>
      </c>
      <c r="GF54">
        <v>1035110979</v>
      </c>
      <c r="GG54">
        <v>2</v>
      </c>
      <c r="GH54">
        <v>1</v>
      </c>
      <c r="GI54">
        <v>2</v>
      </c>
      <c r="GJ54">
        <v>0</v>
      </c>
      <c r="GK54">
        <f>ROUND(R54*(R12)/100,2)</f>
        <v>532975.73</v>
      </c>
      <c r="GL54">
        <f t="shared" si="132"/>
        <v>0</v>
      </c>
      <c r="GM54">
        <f t="shared" si="133"/>
        <v>2616590.41</v>
      </c>
      <c r="GN54">
        <f t="shared" si="134"/>
        <v>2616590.41</v>
      </c>
      <c r="GO54">
        <f t="shared" si="135"/>
        <v>0</v>
      </c>
      <c r="GP54">
        <f t="shared" si="136"/>
        <v>0</v>
      </c>
      <c r="GR54">
        <v>0</v>
      </c>
      <c r="GS54">
        <v>0</v>
      </c>
      <c r="GT54">
        <v>0</v>
      </c>
      <c r="GU54" t="s">
        <v>6</v>
      </c>
      <c r="GV54">
        <f t="shared" si="137"/>
        <v>0</v>
      </c>
      <c r="GW54">
        <v>1</v>
      </c>
      <c r="GX54">
        <f t="shared" si="138"/>
        <v>0</v>
      </c>
      <c r="HA54">
        <v>0</v>
      </c>
      <c r="HB54">
        <v>0</v>
      </c>
      <c r="HC54">
        <f t="shared" si="139"/>
        <v>0</v>
      </c>
      <c r="IK54">
        <v>0</v>
      </c>
    </row>
    <row r="55" spans="1:245" x14ac:dyDescent="0.2">
      <c r="A55">
        <v>18</v>
      </c>
      <c r="B55">
        <v>1</v>
      </c>
      <c r="C55">
        <v>62</v>
      </c>
      <c r="E55" t="s">
        <v>107</v>
      </c>
      <c r="F55" t="s">
        <v>71</v>
      </c>
      <c r="G55" t="s">
        <v>72</v>
      </c>
      <c r="H55" t="s">
        <v>73</v>
      </c>
      <c r="I55">
        <f>I54*J55</f>
        <v>24371.200000000001</v>
      </c>
      <c r="J55">
        <v>179.20000000000002</v>
      </c>
      <c r="O55">
        <f t="shared" si="104"/>
        <v>1194545.93</v>
      </c>
      <c r="P55">
        <f t="shared" si="105"/>
        <v>1194545.93</v>
      </c>
      <c r="Q55">
        <f t="shared" si="106"/>
        <v>0</v>
      </c>
      <c r="R55">
        <f t="shared" si="107"/>
        <v>0</v>
      </c>
      <c r="S55">
        <f t="shared" si="108"/>
        <v>0</v>
      </c>
      <c r="T55">
        <f t="shared" si="109"/>
        <v>0</v>
      </c>
      <c r="U55">
        <f t="shared" si="110"/>
        <v>0</v>
      </c>
      <c r="V55">
        <f t="shared" si="111"/>
        <v>0</v>
      </c>
      <c r="W55">
        <f t="shared" si="112"/>
        <v>0</v>
      </c>
      <c r="X55">
        <f t="shared" si="113"/>
        <v>0</v>
      </c>
      <c r="Y55">
        <f t="shared" si="113"/>
        <v>0</v>
      </c>
      <c r="AA55">
        <v>44175489</v>
      </c>
      <c r="AB55">
        <f t="shared" si="114"/>
        <v>11.3</v>
      </c>
      <c r="AC55">
        <f t="shared" si="115"/>
        <v>11.3</v>
      </c>
      <c r="AD55">
        <f t="shared" si="116"/>
        <v>0</v>
      </c>
      <c r="AE55">
        <f t="shared" si="117"/>
        <v>0</v>
      </c>
      <c r="AF55">
        <f t="shared" si="117"/>
        <v>0</v>
      </c>
      <c r="AG55">
        <f t="shared" si="118"/>
        <v>0</v>
      </c>
      <c r="AH55">
        <f t="shared" si="119"/>
        <v>0</v>
      </c>
      <c r="AI55">
        <f t="shared" si="119"/>
        <v>0</v>
      </c>
      <c r="AJ55">
        <f t="shared" si="120"/>
        <v>0</v>
      </c>
      <c r="AK55">
        <v>11.3</v>
      </c>
      <c r="AL55">
        <v>11.3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1</v>
      </c>
      <c r="AW55">
        <v>1.079</v>
      </c>
      <c r="AZ55">
        <v>1</v>
      </c>
      <c r="BA55">
        <v>1</v>
      </c>
      <c r="BB55">
        <v>1</v>
      </c>
      <c r="BC55">
        <v>4.0199999999999996</v>
      </c>
      <c r="BD55" t="s">
        <v>6</v>
      </c>
      <c r="BE55" t="s">
        <v>6</v>
      </c>
      <c r="BF55" t="s">
        <v>6</v>
      </c>
      <c r="BG55" t="s">
        <v>6</v>
      </c>
      <c r="BH55">
        <v>3</v>
      </c>
      <c r="BI55">
        <v>1</v>
      </c>
      <c r="BJ55" t="s">
        <v>74</v>
      </c>
      <c r="BM55">
        <v>1989</v>
      </c>
      <c r="BN55">
        <v>0</v>
      </c>
      <c r="BO55" t="s">
        <v>71</v>
      </c>
      <c r="BP55">
        <v>1</v>
      </c>
      <c r="BQ55">
        <v>30</v>
      </c>
      <c r="BR55">
        <v>0</v>
      </c>
      <c r="BS55">
        <v>1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6</v>
      </c>
      <c r="BZ55">
        <v>0</v>
      </c>
      <c r="CA55">
        <v>0</v>
      </c>
      <c r="CE55">
        <v>30</v>
      </c>
      <c r="CF55">
        <v>0</v>
      </c>
      <c r="CG55">
        <v>0</v>
      </c>
      <c r="CM55">
        <v>0</v>
      </c>
      <c r="CN55" t="s">
        <v>6</v>
      </c>
      <c r="CO55">
        <v>0</v>
      </c>
      <c r="CP55">
        <f t="shared" si="121"/>
        <v>1194545.93</v>
      </c>
      <c r="CQ55">
        <f t="shared" si="122"/>
        <v>49</v>
      </c>
      <c r="CR55">
        <f t="shared" si="123"/>
        <v>0</v>
      </c>
      <c r="CS55">
        <f t="shared" si="124"/>
        <v>0</v>
      </c>
      <c r="CT55">
        <f t="shared" si="125"/>
        <v>0</v>
      </c>
      <c r="CU55">
        <f t="shared" si="126"/>
        <v>0</v>
      </c>
      <c r="CV55">
        <f t="shared" si="127"/>
        <v>0</v>
      </c>
      <c r="CW55">
        <f t="shared" si="128"/>
        <v>0</v>
      </c>
      <c r="CX55">
        <f t="shared" si="128"/>
        <v>0</v>
      </c>
      <c r="CY55">
        <f t="shared" si="129"/>
        <v>0</v>
      </c>
      <c r="CZ55">
        <f t="shared" si="130"/>
        <v>0</v>
      </c>
      <c r="DC55" t="s">
        <v>6</v>
      </c>
      <c r="DD55" t="s">
        <v>6</v>
      </c>
      <c r="DE55" t="s">
        <v>6</v>
      </c>
      <c r="DF55" t="s">
        <v>6</v>
      </c>
      <c r="DG55" t="s">
        <v>6</v>
      </c>
      <c r="DH55" t="s">
        <v>6</v>
      </c>
      <c r="DI55" t="s">
        <v>6</v>
      </c>
      <c r="DJ55" t="s">
        <v>6</v>
      </c>
      <c r="DK55" t="s">
        <v>6</v>
      </c>
      <c r="DL55" t="s">
        <v>6</v>
      </c>
      <c r="DM55" t="s">
        <v>6</v>
      </c>
      <c r="DN55">
        <v>149</v>
      </c>
      <c r="DO55">
        <v>158</v>
      </c>
      <c r="DP55">
        <v>1.0469999999999999</v>
      </c>
      <c r="DQ55">
        <v>1.079</v>
      </c>
      <c r="DU55">
        <v>1009</v>
      </c>
      <c r="DV55" t="s">
        <v>73</v>
      </c>
      <c r="DW55" t="s">
        <v>73</v>
      </c>
      <c r="DX55">
        <v>1</v>
      </c>
      <c r="EE55">
        <v>44065810</v>
      </c>
      <c r="EF55">
        <v>30</v>
      </c>
      <c r="EG55" t="s">
        <v>29</v>
      </c>
      <c r="EH55">
        <v>0</v>
      </c>
      <c r="EI55" t="s">
        <v>6</v>
      </c>
      <c r="EJ55">
        <v>1</v>
      </c>
      <c r="EK55">
        <v>1989</v>
      </c>
      <c r="EL55" t="s">
        <v>68</v>
      </c>
      <c r="EM55" t="s">
        <v>69</v>
      </c>
      <c r="EO55" t="s">
        <v>6</v>
      </c>
      <c r="EQ55">
        <v>0</v>
      </c>
      <c r="ER55">
        <v>11.3</v>
      </c>
      <c r="ES55">
        <v>11.3</v>
      </c>
      <c r="ET55">
        <v>0</v>
      </c>
      <c r="EU55">
        <v>0</v>
      </c>
      <c r="EV55">
        <v>0</v>
      </c>
      <c r="EW55">
        <v>0</v>
      </c>
      <c r="EX55">
        <v>0</v>
      </c>
      <c r="FQ55">
        <v>0</v>
      </c>
      <c r="FR55">
        <f t="shared" si="131"/>
        <v>0</v>
      </c>
      <c r="FS55">
        <v>0</v>
      </c>
      <c r="FX55">
        <v>149</v>
      </c>
      <c r="FY55">
        <v>158</v>
      </c>
      <c r="GA55" t="s">
        <v>6</v>
      </c>
      <c r="GD55">
        <v>0</v>
      </c>
      <c r="GF55">
        <v>185995085</v>
      </c>
      <c r="GG55">
        <v>2</v>
      </c>
      <c r="GH55">
        <v>1</v>
      </c>
      <c r="GI55">
        <v>2</v>
      </c>
      <c r="GJ55">
        <v>0</v>
      </c>
      <c r="GK55">
        <f>ROUND(R55*(R12)/100,2)</f>
        <v>0</v>
      </c>
      <c r="GL55">
        <f t="shared" si="132"/>
        <v>0</v>
      </c>
      <c r="GM55">
        <f t="shared" si="133"/>
        <v>1194545.93</v>
      </c>
      <c r="GN55">
        <f t="shared" si="134"/>
        <v>1194545.93</v>
      </c>
      <c r="GO55">
        <f t="shared" si="135"/>
        <v>0</v>
      </c>
      <c r="GP55">
        <f t="shared" si="136"/>
        <v>0</v>
      </c>
      <c r="GR55">
        <v>0</v>
      </c>
      <c r="GS55">
        <v>0</v>
      </c>
      <c r="GT55">
        <v>0</v>
      </c>
      <c r="GU55" t="s">
        <v>6</v>
      </c>
      <c r="GV55">
        <f t="shared" si="137"/>
        <v>0</v>
      </c>
      <c r="GW55">
        <v>1</v>
      </c>
      <c r="GX55">
        <f t="shared" si="138"/>
        <v>0</v>
      </c>
      <c r="HA55">
        <v>0</v>
      </c>
      <c r="HB55">
        <v>0</v>
      </c>
      <c r="HC55">
        <f t="shared" si="139"/>
        <v>0</v>
      </c>
      <c r="IK55">
        <v>0</v>
      </c>
    </row>
    <row r="56" spans="1:245" x14ac:dyDescent="0.2">
      <c r="A56">
        <v>18</v>
      </c>
      <c r="B56">
        <v>1</v>
      </c>
      <c r="C56">
        <v>65</v>
      </c>
      <c r="E56" t="s">
        <v>108</v>
      </c>
      <c r="F56" t="s">
        <v>76</v>
      </c>
      <c r="G56" t="s">
        <v>77</v>
      </c>
      <c r="H56" t="s">
        <v>78</v>
      </c>
      <c r="I56">
        <f>I54*J56</f>
        <v>414</v>
      </c>
      <c r="J56">
        <v>3.0441176470588234</v>
      </c>
      <c r="O56">
        <f t="shared" si="104"/>
        <v>941173.64</v>
      </c>
      <c r="P56">
        <f t="shared" si="105"/>
        <v>941173.64</v>
      </c>
      <c r="Q56">
        <f t="shared" si="106"/>
        <v>0</v>
      </c>
      <c r="R56">
        <f t="shared" si="107"/>
        <v>0</v>
      </c>
      <c r="S56">
        <f t="shared" si="108"/>
        <v>0</v>
      </c>
      <c r="T56">
        <f t="shared" si="109"/>
        <v>0</v>
      </c>
      <c r="U56">
        <f t="shared" si="110"/>
        <v>0</v>
      </c>
      <c r="V56">
        <f t="shared" si="111"/>
        <v>0</v>
      </c>
      <c r="W56">
        <f t="shared" si="112"/>
        <v>0</v>
      </c>
      <c r="X56">
        <f t="shared" si="113"/>
        <v>0</v>
      </c>
      <c r="Y56">
        <f t="shared" si="113"/>
        <v>0</v>
      </c>
      <c r="AA56">
        <v>44175489</v>
      </c>
      <c r="AB56">
        <f t="shared" si="114"/>
        <v>707.02</v>
      </c>
      <c r="AC56">
        <f t="shared" si="115"/>
        <v>707.02</v>
      </c>
      <c r="AD56">
        <f t="shared" si="116"/>
        <v>0</v>
      </c>
      <c r="AE56">
        <f t="shared" si="117"/>
        <v>0</v>
      </c>
      <c r="AF56">
        <f t="shared" si="117"/>
        <v>0</v>
      </c>
      <c r="AG56">
        <f t="shared" si="118"/>
        <v>0</v>
      </c>
      <c r="AH56">
        <f t="shared" si="119"/>
        <v>0</v>
      </c>
      <c r="AI56">
        <f t="shared" si="119"/>
        <v>0</v>
      </c>
      <c r="AJ56">
        <f t="shared" si="120"/>
        <v>0</v>
      </c>
      <c r="AK56">
        <v>707.02</v>
      </c>
      <c r="AL56">
        <v>707.02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1</v>
      </c>
      <c r="AW56">
        <v>1.079</v>
      </c>
      <c r="AZ56">
        <v>1</v>
      </c>
      <c r="BA56">
        <v>1</v>
      </c>
      <c r="BB56">
        <v>1</v>
      </c>
      <c r="BC56">
        <v>2.98</v>
      </c>
      <c r="BD56" t="s">
        <v>6</v>
      </c>
      <c r="BE56" t="s">
        <v>6</v>
      </c>
      <c r="BF56" t="s">
        <v>6</v>
      </c>
      <c r="BG56" t="s">
        <v>6</v>
      </c>
      <c r="BH56">
        <v>3</v>
      </c>
      <c r="BI56">
        <v>1</v>
      </c>
      <c r="BJ56" t="s">
        <v>79</v>
      </c>
      <c r="BM56">
        <v>1989</v>
      </c>
      <c r="BN56">
        <v>0</v>
      </c>
      <c r="BO56" t="s">
        <v>76</v>
      </c>
      <c r="BP56">
        <v>1</v>
      </c>
      <c r="BQ56">
        <v>30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6</v>
      </c>
      <c r="BZ56">
        <v>0</v>
      </c>
      <c r="CA56">
        <v>0</v>
      </c>
      <c r="CE56">
        <v>30</v>
      </c>
      <c r="CF56">
        <v>0</v>
      </c>
      <c r="CG56">
        <v>0</v>
      </c>
      <c r="CM56">
        <v>0</v>
      </c>
      <c r="CN56" t="s">
        <v>6</v>
      </c>
      <c r="CO56">
        <v>0</v>
      </c>
      <c r="CP56">
        <f t="shared" si="121"/>
        <v>941173.64</v>
      </c>
      <c r="CQ56">
        <f t="shared" si="122"/>
        <v>2273.35</v>
      </c>
      <c r="CR56">
        <f t="shared" si="123"/>
        <v>0</v>
      </c>
      <c r="CS56">
        <f t="shared" si="124"/>
        <v>0</v>
      </c>
      <c r="CT56">
        <f t="shared" si="125"/>
        <v>0</v>
      </c>
      <c r="CU56">
        <f t="shared" si="126"/>
        <v>0</v>
      </c>
      <c r="CV56">
        <f t="shared" si="127"/>
        <v>0</v>
      </c>
      <c r="CW56">
        <f t="shared" si="128"/>
        <v>0</v>
      </c>
      <c r="CX56">
        <f t="shared" si="128"/>
        <v>0</v>
      </c>
      <c r="CY56">
        <f t="shared" si="129"/>
        <v>0</v>
      </c>
      <c r="CZ56">
        <f t="shared" si="130"/>
        <v>0</v>
      </c>
      <c r="DC56" t="s">
        <v>6</v>
      </c>
      <c r="DD56" t="s">
        <v>6</v>
      </c>
      <c r="DE56" t="s">
        <v>6</v>
      </c>
      <c r="DF56" t="s">
        <v>6</v>
      </c>
      <c r="DG56" t="s">
        <v>6</v>
      </c>
      <c r="DH56" t="s">
        <v>6</v>
      </c>
      <c r="DI56" t="s">
        <v>6</v>
      </c>
      <c r="DJ56" t="s">
        <v>6</v>
      </c>
      <c r="DK56" t="s">
        <v>6</v>
      </c>
      <c r="DL56" t="s">
        <v>6</v>
      </c>
      <c r="DM56" t="s">
        <v>6</v>
      </c>
      <c r="DN56">
        <v>149</v>
      </c>
      <c r="DO56">
        <v>158</v>
      </c>
      <c r="DP56">
        <v>1.0469999999999999</v>
      </c>
      <c r="DQ56">
        <v>1.079</v>
      </c>
      <c r="DU56">
        <v>1003</v>
      </c>
      <c r="DV56" t="s">
        <v>78</v>
      </c>
      <c r="DW56" t="s">
        <v>78</v>
      </c>
      <c r="DX56">
        <v>1</v>
      </c>
      <c r="EE56">
        <v>44065810</v>
      </c>
      <c r="EF56">
        <v>30</v>
      </c>
      <c r="EG56" t="s">
        <v>29</v>
      </c>
      <c r="EH56">
        <v>0</v>
      </c>
      <c r="EI56" t="s">
        <v>6</v>
      </c>
      <c r="EJ56">
        <v>1</v>
      </c>
      <c r="EK56">
        <v>1989</v>
      </c>
      <c r="EL56" t="s">
        <v>68</v>
      </c>
      <c r="EM56" t="s">
        <v>69</v>
      </c>
      <c r="EO56" t="s">
        <v>6</v>
      </c>
      <c r="EQ56">
        <v>0</v>
      </c>
      <c r="ER56">
        <v>707.02</v>
      </c>
      <c r="ES56">
        <v>707.02</v>
      </c>
      <c r="ET56">
        <v>0</v>
      </c>
      <c r="EU56">
        <v>0</v>
      </c>
      <c r="EV56">
        <v>0</v>
      </c>
      <c r="EW56">
        <v>0</v>
      </c>
      <c r="EX56">
        <v>0</v>
      </c>
      <c r="FQ56">
        <v>0</v>
      </c>
      <c r="FR56">
        <f t="shared" si="131"/>
        <v>0</v>
      </c>
      <c r="FS56">
        <v>0</v>
      </c>
      <c r="FX56">
        <v>149</v>
      </c>
      <c r="FY56">
        <v>158</v>
      </c>
      <c r="GA56" t="s">
        <v>6</v>
      </c>
      <c r="GD56">
        <v>0</v>
      </c>
      <c r="GF56">
        <v>-203233444</v>
      </c>
      <c r="GG56">
        <v>2</v>
      </c>
      <c r="GH56">
        <v>1</v>
      </c>
      <c r="GI56">
        <v>2</v>
      </c>
      <c r="GJ56">
        <v>0</v>
      </c>
      <c r="GK56">
        <f>ROUND(R56*(R12)/100,2)</f>
        <v>0</v>
      </c>
      <c r="GL56">
        <f t="shared" si="132"/>
        <v>0</v>
      </c>
      <c r="GM56">
        <f t="shared" si="133"/>
        <v>941173.64</v>
      </c>
      <c r="GN56">
        <f t="shared" si="134"/>
        <v>941173.64</v>
      </c>
      <c r="GO56">
        <f t="shared" si="135"/>
        <v>0</v>
      </c>
      <c r="GP56">
        <f t="shared" si="136"/>
        <v>0</v>
      </c>
      <c r="GR56">
        <v>0</v>
      </c>
      <c r="GS56">
        <v>3</v>
      </c>
      <c r="GT56">
        <v>0</v>
      </c>
      <c r="GU56" t="s">
        <v>6</v>
      </c>
      <c r="GV56">
        <f t="shared" si="137"/>
        <v>0</v>
      </c>
      <c r="GW56">
        <v>1</v>
      </c>
      <c r="GX56">
        <f t="shared" si="138"/>
        <v>0</v>
      </c>
      <c r="HA56">
        <v>0</v>
      </c>
      <c r="HB56">
        <v>0</v>
      </c>
      <c r="HC56">
        <f t="shared" si="139"/>
        <v>0</v>
      </c>
      <c r="IK56">
        <v>0</v>
      </c>
    </row>
    <row r="57" spans="1:245" x14ac:dyDescent="0.2">
      <c r="A57">
        <v>18</v>
      </c>
      <c r="B57">
        <v>1</v>
      </c>
      <c r="C57">
        <v>64</v>
      </c>
      <c r="E57" t="s">
        <v>109</v>
      </c>
      <c r="F57" t="s">
        <v>81</v>
      </c>
      <c r="G57" t="s">
        <v>82</v>
      </c>
      <c r="H57" t="s">
        <v>83</v>
      </c>
      <c r="I57">
        <f>I54*J57</f>
        <v>1335.1936000000001</v>
      </c>
      <c r="J57">
        <v>9.8176000000000005</v>
      </c>
      <c r="O57">
        <f t="shared" si="104"/>
        <v>644392.26</v>
      </c>
      <c r="P57">
        <f t="shared" si="105"/>
        <v>644392.26</v>
      </c>
      <c r="Q57">
        <f t="shared" si="106"/>
        <v>0</v>
      </c>
      <c r="R57">
        <f t="shared" si="107"/>
        <v>0</v>
      </c>
      <c r="S57">
        <f t="shared" si="108"/>
        <v>0</v>
      </c>
      <c r="T57">
        <f t="shared" si="109"/>
        <v>0</v>
      </c>
      <c r="U57">
        <f t="shared" si="110"/>
        <v>0</v>
      </c>
      <c r="V57">
        <f t="shared" si="111"/>
        <v>0</v>
      </c>
      <c r="W57">
        <f t="shared" si="112"/>
        <v>0</v>
      </c>
      <c r="X57">
        <f t="shared" si="113"/>
        <v>0</v>
      </c>
      <c r="Y57">
        <f t="shared" si="113"/>
        <v>0</v>
      </c>
      <c r="AA57">
        <v>44175489</v>
      </c>
      <c r="AB57">
        <f t="shared" si="114"/>
        <v>95.37</v>
      </c>
      <c r="AC57">
        <f t="shared" si="115"/>
        <v>95.37</v>
      </c>
      <c r="AD57">
        <f t="shared" si="116"/>
        <v>0</v>
      </c>
      <c r="AE57">
        <f t="shared" si="117"/>
        <v>0</v>
      </c>
      <c r="AF57">
        <f t="shared" si="117"/>
        <v>0</v>
      </c>
      <c r="AG57">
        <f t="shared" si="118"/>
        <v>0</v>
      </c>
      <c r="AH57">
        <f t="shared" si="119"/>
        <v>0</v>
      </c>
      <c r="AI57">
        <f t="shared" si="119"/>
        <v>0</v>
      </c>
      <c r="AJ57">
        <f t="shared" si="120"/>
        <v>0</v>
      </c>
      <c r="AK57">
        <v>95.37</v>
      </c>
      <c r="AL57">
        <v>95.37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1</v>
      </c>
      <c r="AW57">
        <v>1.079</v>
      </c>
      <c r="AZ57">
        <v>1</v>
      </c>
      <c r="BA57">
        <v>1</v>
      </c>
      <c r="BB57">
        <v>1</v>
      </c>
      <c r="BC57">
        <v>4.6900000000000004</v>
      </c>
      <c r="BD57" t="s">
        <v>6</v>
      </c>
      <c r="BE57" t="s">
        <v>6</v>
      </c>
      <c r="BF57" t="s">
        <v>6</v>
      </c>
      <c r="BG57" t="s">
        <v>6</v>
      </c>
      <c r="BH57">
        <v>3</v>
      </c>
      <c r="BI57">
        <v>1</v>
      </c>
      <c r="BJ57" t="s">
        <v>84</v>
      </c>
      <c r="BM57">
        <v>1989</v>
      </c>
      <c r="BN57">
        <v>0</v>
      </c>
      <c r="BO57" t="s">
        <v>81</v>
      </c>
      <c r="BP57">
        <v>1</v>
      </c>
      <c r="BQ57">
        <v>30</v>
      </c>
      <c r="BR57">
        <v>0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6</v>
      </c>
      <c r="BZ57">
        <v>0</v>
      </c>
      <c r="CA57">
        <v>0</v>
      </c>
      <c r="CE57">
        <v>30</v>
      </c>
      <c r="CF57">
        <v>0</v>
      </c>
      <c r="CG57">
        <v>0</v>
      </c>
      <c r="CM57">
        <v>0</v>
      </c>
      <c r="CN57" t="s">
        <v>6</v>
      </c>
      <c r="CO57">
        <v>0</v>
      </c>
      <c r="CP57">
        <f t="shared" si="121"/>
        <v>644392.26</v>
      </c>
      <c r="CQ57">
        <f t="shared" si="122"/>
        <v>482.6</v>
      </c>
      <c r="CR57">
        <f t="shared" si="123"/>
        <v>0</v>
      </c>
      <c r="CS57">
        <f t="shared" si="124"/>
        <v>0</v>
      </c>
      <c r="CT57">
        <f t="shared" si="125"/>
        <v>0</v>
      </c>
      <c r="CU57">
        <f t="shared" si="126"/>
        <v>0</v>
      </c>
      <c r="CV57">
        <f t="shared" si="127"/>
        <v>0</v>
      </c>
      <c r="CW57">
        <f t="shared" si="128"/>
        <v>0</v>
      </c>
      <c r="CX57">
        <f t="shared" si="128"/>
        <v>0</v>
      </c>
      <c r="CY57">
        <f t="shared" si="129"/>
        <v>0</v>
      </c>
      <c r="CZ57">
        <f t="shared" si="130"/>
        <v>0</v>
      </c>
      <c r="DC57" t="s">
        <v>6</v>
      </c>
      <c r="DD57" t="s">
        <v>6</v>
      </c>
      <c r="DE57" t="s">
        <v>6</v>
      </c>
      <c r="DF57" t="s">
        <v>6</v>
      </c>
      <c r="DG57" t="s">
        <v>6</v>
      </c>
      <c r="DH57" t="s">
        <v>6</v>
      </c>
      <c r="DI57" t="s">
        <v>6</v>
      </c>
      <c r="DJ57" t="s">
        <v>6</v>
      </c>
      <c r="DK57" t="s">
        <v>6</v>
      </c>
      <c r="DL57" t="s">
        <v>6</v>
      </c>
      <c r="DM57" t="s">
        <v>6</v>
      </c>
      <c r="DN57">
        <v>149</v>
      </c>
      <c r="DO57">
        <v>158</v>
      </c>
      <c r="DP57">
        <v>1.0469999999999999</v>
      </c>
      <c r="DQ57">
        <v>1.079</v>
      </c>
      <c r="DU57">
        <v>1002</v>
      </c>
      <c r="DV57" t="s">
        <v>83</v>
      </c>
      <c r="DW57" t="s">
        <v>83</v>
      </c>
      <c r="DX57">
        <v>1</v>
      </c>
      <c r="EE57">
        <v>44065810</v>
      </c>
      <c r="EF57">
        <v>30</v>
      </c>
      <c r="EG57" t="s">
        <v>29</v>
      </c>
      <c r="EH57">
        <v>0</v>
      </c>
      <c r="EI57" t="s">
        <v>6</v>
      </c>
      <c r="EJ57">
        <v>1</v>
      </c>
      <c r="EK57">
        <v>1989</v>
      </c>
      <c r="EL57" t="s">
        <v>68</v>
      </c>
      <c r="EM57" t="s">
        <v>69</v>
      </c>
      <c r="EO57" t="s">
        <v>6</v>
      </c>
      <c r="EQ57">
        <v>0</v>
      </c>
      <c r="ER57">
        <v>95.37</v>
      </c>
      <c r="ES57">
        <v>95.37</v>
      </c>
      <c r="ET57">
        <v>0</v>
      </c>
      <c r="EU57">
        <v>0</v>
      </c>
      <c r="EV57">
        <v>0</v>
      </c>
      <c r="EW57">
        <v>0</v>
      </c>
      <c r="EX57">
        <v>0</v>
      </c>
      <c r="FQ57">
        <v>0</v>
      </c>
      <c r="FR57">
        <f t="shared" si="131"/>
        <v>0</v>
      </c>
      <c r="FS57">
        <v>0</v>
      </c>
      <c r="FX57">
        <v>149</v>
      </c>
      <c r="FY57">
        <v>158</v>
      </c>
      <c r="GA57" t="s">
        <v>6</v>
      </c>
      <c r="GD57">
        <v>0</v>
      </c>
      <c r="GF57">
        <v>-360054125</v>
      </c>
      <c r="GG57">
        <v>2</v>
      </c>
      <c r="GH57">
        <v>1</v>
      </c>
      <c r="GI57">
        <v>2</v>
      </c>
      <c r="GJ57">
        <v>0</v>
      </c>
      <c r="GK57">
        <f>ROUND(R57*(R12)/100,2)</f>
        <v>0</v>
      </c>
      <c r="GL57">
        <f t="shared" si="132"/>
        <v>0</v>
      </c>
      <c r="GM57">
        <f t="shared" si="133"/>
        <v>644392.26</v>
      </c>
      <c r="GN57">
        <f t="shared" si="134"/>
        <v>644392.26</v>
      </c>
      <c r="GO57">
        <f t="shared" si="135"/>
        <v>0</v>
      </c>
      <c r="GP57">
        <f t="shared" si="136"/>
        <v>0</v>
      </c>
      <c r="GR57">
        <v>0</v>
      </c>
      <c r="GS57">
        <v>0</v>
      </c>
      <c r="GT57">
        <v>0</v>
      </c>
      <c r="GU57" t="s">
        <v>6</v>
      </c>
      <c r="GV57">
        <f t="shared" si="137"/>
        <v>0</v>
      </c>
      <c r="GW57">
        <v>1</v>
      </c>
      <c r="GX57">
        <f t="shared" si="138"/>
        <v>0</v>
      </c>
      <c r="HA57">
        <v>0</v>
      </c>
      <c r="HB57">
        <v>0</v>
      </c>
      <c r="HC57">
        <f t="shared" si="139"/>
        <v>0</v>
      </c>
      <c r="IK57">
        <v>0</v>
      </c>
    </row>
    <row r="58" spans="1:245" x14ac:dyDescent="0.2">
      <c r="A58">
        <v>17</v>
      </c>
      <c r="B58">
        <v>1</v>
      </c>
      <c r="C58">
        <f>ROW(SmtRes!A66)</f>
        <v>66</v>
      </c>
      <c r="D58">
        <f>ROW(EtalonRes!A64)</f>
        <v>64</v>
      </c>
      <c r="E58" t="s">
        <v>110</v>
      </c>
      <c r="F58" t="s">
        <v>86</v>
      </c>
      <c r="G58" t="s">
        <v>87</v>
      </c>
      <c r="H58" t="s">
        <v>88</v>
      </c>
      <c r="I58">
        <v>33</v>
      </c>
      <c r="J58">
        <v>0</v>
      </c>
      <c r="O58">
        <f t="shared" si="104"/>
        <v>2144.66</v>
      </c>
      <c r="P58">
        <f t="shared" si="105"/>
        <v>0</v>
      </c>
      <c r="Q58">
        <f t="shared" si="106"/>
        <v>2144.66</v>
      </c>
      <c r="R58">
        <f t="shared" si="107"/>
        <v>437.6</v>
      </c>
      <c r="S58">
        <f t="shared" si="108"/>
        <v>0</v>
      </c>
      <c r="T58">
        <f t="shared" si="109"/>
        <v>0</v>
      </c>
      <c r="U58">
        <f t="shared" si="110"/>
        <v>0</v>
      </c>
      <c r="V58">
        <f t="shared" si="111"/>
        <v>0</v>
      </c>
      <c r="W58">
        <f t="shared" si="112"/>
        <v>0</v>
      </c>
      <c r="X58">
        <f t="shared" si="113"/>
        <v>0</v>
      </c>
      <c r="Y58">
        <f t="shared" si="113"/>
        <v>0</v>
      </c>
      <c r="AA58">
        <v>44175489</v>
      </c>
      <c r="AB58">
        <f t="shared" si="114"/>
        <v>25.7</v>
      </c>
      <c r="AC58">
        <f t="shared" si="115"/>
        <v>0</v>
      </c>
      <c r="AD58">
        <f t="shared" si="116"/>
        <v>25.7</v>
      </c>
      <c r="AE58">
        <f t="shared" si="117"/>
        <v>0.57999999999999996</v>
      </c>
      <c r="AF58">
        <f t="shared" si="117"/>
        <v>0</v>
      </c>
      <c r="AG58">
        <f t="shared" si="118"/>
        <v>0</v>
      </c>
      <c r="AH58">
        <f t="shared" si="119"/>
        <v>0</v>
      </c>
      <c r="AI58">
        <f t="shared" si="119"/>
        <v>0</v>
      </c>
      <c r="AJ58">
        <f t="shared" si="120"/>
        <v>0</v>
      </c>
      <c r="AK58">
        <v>25.7</v>
      </c>
      <c r="AL58">
        <v>0</v>
      </c>
      <c r="AM58">
        <v>25.7</v>
      </c>
      <c r="AN58">
        <v>0.57999999999999996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106</v>
      </c>
      <c r="AU58">
        <v>53</v>
      </c>
      <c r="AV58">
        <v>1.0669999999999999</v>
      </c>
      <c r="AW58">
        <v>1.0029999999999999</v>
      </c>
      <c r="AZ58">
        <v>1</v>
      </c>
      <c r="BA58">
        <v>21.43</v>
      </c>
      <c r="BB58">
        <v>2.37</v>
      </c>
      <c r="BC58">
        <v>1</v>
      </c>
      <c r="BD58" t="s">
        <v>6</v>
      </c>
      <c r="BE58" t="s">
        <v>6</v>
      </c>
      <c r="BF58" t="s">
        <v>6</v>
      </c>
      <c r="BG58" t="s">
        <v>6</v>
      </c>
      <c r="BH58">
        <v>0</v>
      </c>
      <c r="BI58">
        <v>1</v>
      </c>
      <c r="BJ58" t="s">
        <v>89</v>
      </c>
      <c r="BM58">
        <v>140</v>
      </c>
      <c r="BN58">
        <v>0</v>
      </c>
      <c r="BO58" t="s">
        <v>86</v>
      </c>
      <c r="BP58">
        <v>1</v>
      </c>
      <c r="BQ58">
        <v>30</v>
      </c>
      <c r="BR58">
        <v>0</v>
      </c>
      <c r="BS58">
        <v>21.43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6</v>
      </c>
      <c r="BZ58">
        <v>106</v>
      </c>
      <c r="CA58">
        <v>53</v>
      </c>
      <c r="CE58">
        <v>30</v>
      </c>
      <c r="CF58">
        <v>0</v>
      </c>
      <c r="CG58">
        <v>0</v>
      </c>
      <c r="CM58">
        <v>0</v>
      </c>
      <c r="CN58" t="s">
        <v>6</v>
      </c>
      <c r="CO58">
        <v>0</v>
      </c>
      <c r="CP58">
        <f t="shared" si="121"/>
        <v>2144.66</v>
      </c>
      <c r="CQ58">
        <f t="shared" si="122"/>
        <v>0</v>
      </c>
      <c r="CR58">
        <f t="shared" si="123"/>
        <v>64.989999999999995</v>
      </c>
      <c r="CS58">
        <f t="shared" si="124"/>
        <v>13.29</v>
      </c>
      <c r="CT58">
        <f t="shared" si="125"/>
        <v>0</v>
      </c>
      <c r="CU58">
        <f t="shared" si="126"/>
        <v>0</v>
      </c>
      <c r="CV58">
        <f t="shared" si="127"/>
        <v>0</v>
      </c>
      <c r="CW58">
        <f t="shared" si="128"/>
        <v>0</v>
      </c>
      <c r="CX58">
        <f t="shared" si="128"/>
        <v>0</v>
      </c>
      <c r="CY58">
        <f t="shared" si="129"/>
        <v>0</v>
      </c>
      <c r="CZ58">
        <f t="shared" si="130"/>
        <v>0</v>
      </c>
      <c r="DC58" t="s">
        <v>6</v>
      </c>
      <c r="DD58" t="s">
        <v>6</v>
      </c>
      <c r="DE58" t="s">
        <v>6</v>
      </c>
      <c r="DF58" t="s">
        <v>6</v>
      </c>
      <c r="DG58" t="s">
        <v>6</v>
      </c>
      <c r="DH58" t="s">
        <v>6</v>
      </c>
      <c r="DI58" t="s">
        <v>6</v>
      </c>
      <c r="DJ58" t="s">
        <v>6</v>
      </c>
      <c r="DK58" t="s">
        <v>6</v>
      </c>
      <c r="DL58" t="s">
        <v>6</v>
      </c>
      <c r="DM58" t="s">
        <v>6</v>
      </c>
      <c r="DN58">
        <v>133</v>
      </c>
      <c r="DO58">
        <v>113</v>
      </c>
      <c r="DP58">
        <v>1.0669999999999999</v>
      </c>
      <c r="DQ58">
        <v>1.0029999999999999</v>
      </c>
      <c r="DU58">
        <v>1013</v>
      </c>
      <c r="DV58" t="s">
        <v>88</v>
      </c>
      <c r="DW58" t="s">
        <v>88</v>
      </c>
      <c r="DX58">
        <v>1</v>
      </c>
      <c r="EE58">
        <v>44063959</v>
      </c>
      <c r="EF58">
        <v>30</v>
      </c>
      <c r="EG58" t="s">
        <v>29</v>
      </c>
      <c r="EH58">
        <v>0</v>
      </c>
      <c r="EI58" t="s">
        <v>6</v>
      </c>
      <c r="EJ58">
        <v>1</v>
      </c>
      <c r="EK58">
        <v>140</v>
      </c>
      <c r="EL58" t="s">
        <v>90</v>
      </c>
      <c r="EM58" t="s">
        <v>91</v>
      </c>
      <c r="EO58" t="s">
        <v>6</v>
      </c>
      <c r="EQ58">
        <v>131072</v>
      </c>
      <c r="ER58">
        <v>25.7</v>
      </c>
      <c r="ES58">
        <v>0</v>
      </c>
      <c r="ET58">
        <v>25.7</v>
      </c>
      <c r="EU58">
        <v>0.57999999999999996</v>
      </c>
      <c r="EV58">
        <v>0</v>
      </c>
      <c r="EW58">
        <v>0</v>
      </c>
      <c r="EX58">
        <v>0</v>
      </c>
      <c r="EY58">
        <v>0</v>
      </c>
      <c r="FQ58">
        <v>0</v>
      </c>
      <c r="FR58">
        <f t="shared" si="131"/>
        <v>0</v>
      </c>
      <c r="FS58">
        <v>0</v>
      </c>
      <c r="FX58">
        <v>133</v>
      </c>
      <c r="FY58">
        <v>113</v>
      </c>
      <c r="GA58" t="s">
        <v>6</v>
      </c>
      <c r="GD58">
        <v>0</v>
      </c>
      <c r="GF58">
        <v>275578643</v>
      </c>
      <c r="GG58">
        <v>2</v>
      </c>
      <c r="GH58">
        <v>1</v>
      </c>
      <c r="GI58">
        <v>2</v>
      </c>
      <c r="GJ58">
        <v>0</v>
      </c>
      <c r="GK58">
        <f>ROUND(R58*(R12)/100,2)</f>
        <v>687.03</v>
      </c>
      <c r="GL58">
        <f t="shared" si="132"/>
        <v>0</v>
      </c>
      <c r="GM58">
        <f t="shared" si="133"/>
        <v>2831.69</v>
      </c>
      <c r="GN58">
        <f t="shared" si="134"/>
        <v>2831.69</v>
      </c>
      <c r="GO58">
        <f t="shared" si="135"/>
        <v>0</v>
      </c>
      <c r="GP58">
        <f t="shared" si="136"/>
        <v>0</v>
      </c>
      <c r="GR58">
        <v>0</v>
      </c>
      <c r="GS58">
        <v>0</v>
      </c>
      <c r="GT58">
        <v>0</v>
      </c>
      <c r="GU58" t="s">
        <v>6</v>
      </c>
      <c r="GV58">
        <f t="shared" si="137"/>
        <v>0</v>
      </c>
      <c r="GW58">
        <v>1</v>
      </c>
      <c r="GX58">
        <f t="shared" si="138"/>
        <v>0</v>
      </c>
      <c r="HA58">
        <v>0</v>
      </c>
      <c r="HB58">
        <v>0</v>
      </c>
      <c r="HC58">
        <f t="shared" si="139"/>
        <v>0</v>
      </c>
      <c r="IK58">
        <v>0</v>
      </c>
    </row>
    <row r="59" spans="1:245" x14ac:dyDescent="0.2">
      <c r="A59">
        <v>17</v>
      </c>
      <c r="B59">
        <v>1</v>
      </c>
      <c r="C59">
        <f>ROW(SmtRes!A68)</f>
        <v>68</v>
      </c>
      <c r="D59">
        <f>ROW(EtalonRes!A66)</f>
        <v>66</v>
      </c>
      <c r="E59" t="s">
        <v>111</v>
      </c>
      <c r="F59" t="s">
        <v>93</v>
      </c>
      <c r="G59" t="s">
        <v>94</v>
      </c>
      <c r="H59" t="s">
        <v>59</v>
      </c>
      <c r="I59">
        <v>1</v>
      </c>
      <c r="J59">
        <v>0</v>
      </c>
      <c r="O59">
        <f t="shared" si="104"/>
        <v>3203.39</v>
      </c>
      <c r="P59">
        <f t="shared" si="105"/>
        <v>0</v>
      </c>
      <c r="Q59">
        <f t="shared" si="106"/>
        <v>3129.89</v>
      </c>
      <c r="R59">
        <f t="shared" si="107"/>
        <v>434.17</v>
      </c>
      <c r="S59">
        <f t="shared" si="108"/>
        <v>73.5</v>
      </c>
      <c r="T59">
        <f t="shared" si="109"/>
        <v>0</v>
      </c>
      <c r="U59">
        <f t="shared" si="110"/>
        <v>0.27222000000000002</v>
      </c>
      <c r="V59">
        <f t="shared" si="111"/>
        <v>0</v>
      </c>
      <c r="W59">
        <f t="shared" si="112"/>
        <v>0</v>
      </c>
      <c r="X59">
        <f t="shared" si="113"/>
        <v>87.47</v>
      </c>
      <c r="Y59">
        <f t="shared" si="113"/>
        <v>55.13</v>
      </c>
      <c r="AA59">
        <v>44175489</v>
      </c>
      <c r="AB59">
        <f t="shared" si="114"/>
        <v>509.96</v>
      </c>
      <c r="AC59">
        <f t="shared" si="115"/>
        <v>0</v>
      </c>
      <c r="AD59">
        <f t="shared" si="116"/>
        <v>506.68</v>
      </c>
      <c r="AE59">
        <f t="shared" si="117"/>
        <v>19.350000000000001</v>
      </c>
      <c r="AF59">
        <f t="shared" si="117"/>
        <v>3.28</v>
      </c>
      <c r="AG59">
        <f t="shared" si="118"/>
        <v>0</v>
      </c>
      <c r="AH59">
        <f t="shared" si="119"/>
        <v>0.26</v>
      </c>
      <c r="AI59">
        <f t="shared" si="119"/>
        <v>0</v>
      </c>
      <c r="AJ59">
        <f t="shared" si="120"/>
        <v>0</v>
      </c>
      <c r="AK59">
        <v>509.96</v>
      </c>
      <c r="AL59">
        <v>0</v>
      </c>
      <c r="AM59">
        <v>506.68</v>
      </c>
      <c r="AN59">
        <v>19.350000000000001</v>
      </c>
      <c r="AO59">
        <v>3.28</v>
      </c>
      <c r="AP59">
        <v>0</v>
      </c>
      <c r="AQ59">
        <v>0.26</v>
      </c>
      <c r="AR59">
        <v>0</v>
      </c>
      <c r="AS59">
        <v>0</v>
      </c>
      <c r="AT59">
        <v>119</v>
      </c>
      <c r="AU59">
        <v>75</v>
      </c>
      <c r="AV59">
        <v>1.0469999999999999</v>
      </c>
      <c r="AW59">
        <v>1.079</v>
      </c>
      <c r="AZ59">
        <v>1</v>
      </c>
      <c r="BA59">
        <v>21.43</v>
      </c>
      <c r="BB59">
        <v>5.9</v>
      </c>
      <c r="BC59">
        <v>1</v>
      </c>
      <c r="BD59" t="s">
        <v>6</v>
      </c>
      <c r="BE59" t="s">
        <v>6</v>
      </c>
      <c r="BF59" t="s">
        <v>6</v>
      </c>
      <c r="BG59" t="s">
        <v>6</v>
      </c>
      <c r="BH59">
        <v>0</v>
      </c>
      <c r="BI59">
        <v>1</v>
      </c>
      <c r="BJ59" t="s">
        <v>95</v>
      </c>
      <c r="BM59">
        <v>1987</v>
      </c>
      <c r="BN59">
        <v>0</v>
      </c>
      <c r="BO59" t="s">
        <v>93</v>
      </c>
      <c r="BP59">
        <v>1</v>
      </c>
      <c r="BQ59">
        <v>30</v>
      </c>
      <c r="BR59">
        <v>0</v>
      </c>
      <c r="BS59">
        <v>21.43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6</v>
      </c>
      <c r="BZ59">
        <v>119</v>
      </c>
      <c r="CA59">
        <v>75</v>
      </c>
      <c r="CE59">
        <v>30</v>
      </c>
      <c r="CF59">
        <v>0</v>
      </c>
      <c r="CG59">
        <v>0</v>
      </c>
      <c r="CM59">
        <v>0</v>
      </c>
      <c r="CN59" t="s">
        <v>6</v>
      </c>
      <c r="CO59">
        <v>0</v>
      </c>
      <c r="CP59">
        <f t="shared" si="121"/>
        <v>3203.39</v>
      </c>
      <c r="CQ59">
        <f t="shared" si="122"/>
        <v>0</v>
      </c>
      <c r="CR59">
        <f t="shared" si="123"/>
        <v>3129.89</v>
      </c>
      <c r="CS59">
        <f t="shared" si="124"/>
        <v>434.17</v>
      </c>
      <c r="CT59">
        <f t="shared" si="125"/>
        <v>73.5</v>
      </c>
      <c r="CU59">
        <f t="shared" si="126"/>
        <v>0</v>
      </c>
      <c r="CV59">
        <f t="shared" si="127"/>
        <v>0.27222000000000002</v>
      </c>
      <c r="CW59">
        <f t="shared" si="128"/>
        <v>0</v>
      </c>
      <c r="CX59">
        <f t="shared" si="128"/>
        <v>0</v>
      </c>
      <c r="CY59">
        <f t="shared" si="129"/>
        <v>87.464999999999989</v>
      </c>
      <c r="CZ59">
        <f t="shared" si="130"/>
        <v>55.125</v>
      </c>
      <c r="DC59" t="s">
        <v>6</v>
      </c>
      <c r="DD59" t="s">
        <v>6</v>
      </c>
      <c r="DE59" t="s">
        <v>6</v>
      </c>
      <c r="DF59" t="s">
        <v>6</v>
      </c>
      <c r="DG59" t="s">
        <v>6</v>
      </c>
      <c r="DH59" t="s">
        <v>6</v>
      </c>
      <c r="DI59" t="s">
        <v>6</v>
      </c>
      <c r="DJ59" t="s">
        <v>6</v>
      </c>
      <c r="DK59" t="s">
        <v>6</v>
      </c>
      <c r="DL59" t="s">
        <v>6</v>
      </c>
      <c r="DM59" t="s">
        <v>6</v>
      </c>
      <c r="DN59">
        <v>149</v>
      </c>
      <c r="DO59">
        <v>158</v>
      </c>
      <c r="DP59">
        <v>1.0469999999999999</v>
      </c>
      <c r="DQ59">
        <v>1.079</v>
      </c>
      <c r="DU59">
        <v>1013</v>
      </c>
      <c r="DV59" t="s">
        <v>59</v>
      </c>
      <c r="DW59" t="s">
        <v>59</v>
      </c>
      <c r="DX59">
        <v>1</v>
      </c>
      <c r="EE59">
        <v>44065808</v>
      </c>
      <c r="EF59">
        <v>30</v>
      </c>
      <c r="EG59" t="s">
        <v>29</v>
      </c>
      <c r="EH59">
        <v>0</v>
      </c>
      <c r="EI59" t="s">
        <v>6</v>
      </c>
      <c r="EJ59">
        <v>1</v>
      </c>
      <c r="EK59">
        <v>1987</v>
      </c>
      <c r="EL59" t="s">
        <v>61</v>
      </c>
      <c r="EM59" t="s">
        <v>62</v>
      </c>
      <c r="EO59" t="s">
        <v>6</v>
      </c>
      <c r="EQ59">
        <v>131072</v>
      </c>
      <c r="ER59">
        <v>509.96</v>
      </c>
      <c r="ES59">
        <v>0</v>
      </c>
      <c r="ET59">
        <v>506.68</v>
      </c>
      <c r="EU59">
        <v>19.350000000000001</v>
      </c>
      <c r="EV59">
        <v>3.28</v>
      </c>
      <c r="EW59">
        <v>0.26</v>
      </c>
      <c r="EX59">
        <v>0</v>
      </c>
      <c r="EY59">
        <v>0</v>
      </c>
      <c r="FQ59">
        <v>0</v>
      </c>
      <c r="FR59">
        <f t="shared" si="131"/>
        <v>0</v>
      </c>
      <c r="FS59">
        <v>0</v>
      </c>
      <c r="FX59">
        <v>149</v>
      </c>
      <c r="FY59">
        <v>158</v>
      </c>
      <c r="GA59" t="s">
        <v>6</v>
      </c>
      <c r="GD59">
        <v>0</v>
      </c>
      <c r="GF59">
        <v>903041355</v>
      </c>
      <c r="GG59">
        <v>2</v>
      </c>
      <c r="GH59">
        <v>1</v>
      </c>
      <c r="GI59">
        <v>2</v>
      </c>
      <c r="GJ59">
        <v>0</v>
      </c>
      <c r="GK59">
        <f>ROUND(R59*(R12)/100,2)</f>
        <v>681.65</v>
      </c>
      <c r="GL59">
        <f t="shared" si="132"/>
        <v>0</v>
      </c>
      <c r="GM59">
        <f t="shared" si="133"/>
        <v>4027.64</v>
      </c>
      <c r="GN59">
        <f t="shared" si="134"/>
        <v>4027.64</v>
      </c>
      <c r="GO59">
        <f t="shared" si="135"/>
        <v>0</v>
      </c>
      <c r="GP59">
        <f t="shared" si="136"/>
        <v>0</v>
      </c>
      <c r="GR59">
        <v>0</v>
      </c>
      <c r="GS59">
        <v>0</v>
      </c>
      <c r="GT59">
        <v>0</v>
      </c>
      <c r="GU59" t="s">
        <v>6</v>
      </c>
      <c r="GV59">
        <f t="shared" si="137"/>
        <v>0</v>
      </c>
      <c r="GW59">
        <v>1</v>
      </c>
      <c r="GX59">
        <f t="shared" si="138"/>
        <v>0</v>
      </c>
      <c r="HA59">
        <v>0</v>
      </c>
      <c r="HB59">
        <v>0</v>
      </c>
      <c r="HC59">
        <f t="shared" si="139"/>
        <v>0</v>
      </c>
      <c r="IK59">
        <v>0</v>
      </c>
    </row>
    <row r="60" spans="1:245" x14ac:dyDescent="0.2">
      <c r="A60">
        <v>19</v>
      </c>
      <c r="B60">
        <v>1</v>
      </c>
      <c r="F60" t="s">
        <v>6</v>
      </c>
      <c r="G60" t="s">
        <v>112</v>
      </c>
      <c r="H60" t="s">
        <v>6</v>
      </c>
      <c r="AA60">
        <v>1</v>
      </c>
      <c r="IK60">
        <v>0</v>
      </c>
    </row>
    <row r="61" spans="1:245" x14ac:dyDescent="0.2">
      <c r="A61">
        <v>17</v>
      </c>
      <c r="B61">
        <v>1</v>
      </c>
      <c r="C61">
        <f>ROW(SmtRes!A71)</f>
        <v>71</v>
      </c>
      <c r="D61">
        <f>ROW(EtalonRes!A69)</f>
        <v>69</v>
      </c>
      <c r="E61" t="s">
        <v>113</v>
      </c>
      <c r="F61" t="s">
        <v>57</v>
      </c>
      <c r="G61" t="s">
        <v>58</v>
      </c>
      <c r="H61" t="s">
        <v>59</v>
      </c>
      <c r="I61">
        <v>1</v>
      </c>
      <c r="J61">
        <v>0</v>
      </c>
      <c r="O61">
        <f t="shared" ref="O61:O67" si="140">ROUND(CP61,2)</f>
        <v>8086.67</v>
      </c>
      <c r="P61">
        <f t="shared" ref="P61:P67" si="141">ROUND((ROUND((AC61*AW61*I61),2)*BC61),2)</f>
        <v>0</v>
      </c>
      <c r="Q61">
        <f t="shared" ref="Q61:Q67" si="142">(ROUND((ROUND(((ET61)*AV61*I61),2)*BB61),2)+ROUND((ROUND(((AE61-(EU61))*AV61*I61),2)*BS61),2))</f>
        <v>7916.73</v>
      </c>
      <c r="R61">
        <f t="shared" ref="R61:R67" si="143">ROUND((ROUND((AE61*AV61*I61),2)*BS61),2)</f>
        <v>1315.37</v>
      </c>
      <c r="S61">
        <f t="shared" ref="S61:S67" si="144">ROUND((ROUND((AF61*AV61*I61),2)*BA61),2)</f>
        <v>169.94</v>
      </c>
      <c r="T61">
        <f t="shared" ref="T61:T67" si="145">ROUND(CU61*I61,2)</f>
        <v>0</v>
      </c>
      <c r="U61">
        <f t="shared" ref="U61:U67" si="146">CV61*I61</f>
        <v>0.62819999999999998</v>
      </c>
      <c r="V61">
        <f t="shared" ref="V61:V67" si="147">CW61*I61</f>
        <v>0</v>
      </c>
      <c r="W61">
        <f t="shared" ref="W61:W67" si="148">ROUND(CX61*I61,2)</f>
        <v>0</v>
      </c>
      <c r="X61">
        <f t="shared" ref="X61:Y67" si="149">ROUND(CY61,2)</f>
        <v>202.23</v>
      </c>
      <c r="Y61">
        <f t="shared" si="149"/>
        <v>127.46</v>
      </c>
      <c r="AA61">
        <v>44175489</v>
      </c>
      <c r="AB61">
        <f t="shared" ref="AB61:AB67" si="150">ROUND((AC61+AD61+AF61),6)</f>
        <v>1245.1099999999999</v>
      </c>
      <c r="AC61">
        <f t="shared" ref="AC61:AC67" si="151">ROUND((ES61),6)</f>
        <v>0</v>
      </c>
      <c r="AD61">
        <f t="shared" ref="AD61:AD67" si="152">ROUND((((ET61)-(EU61))+AE61),6)</f>
        <v>1237.54</v>
      </c>
      <c r="AE61">
        <f t="shared" ref="AE61:AF67" si="153">ROUND((EU61),6)</f>
        <v>58.62</v>
      </c>
      <c r="AF61">
        <f t="shared" si="153"/>
        <v>7.57</v>
      </c>
      <c r="AG61">
        <f t="shared" ref="AG61:AG67" si="154">ROUND((AP61),6)</f>
        <v>0</v>
      </c>
      <c r="AH61">
        <f t="shared" ref="AH61:AI67" si="155">(EW61)</f>
        <v>0.6</v>
      </c>
      <c r="AI61">
        <f t="shared" si="155"/>
        <v>0</v>
      </c>
      <c r="AJ61">
        <f t="shared" ref="AJ61:AJ67" si="156">(AS61)</f>
        <v>0</v>
      </c>
      <c r="AK61">
        <v>1245.1099999999999</v>
      </c>
      <c r="AL61">
        <v>0</v>
      </c>
      <c r="AM61">
        <v>1237.54</v>
      </c>
      <c r="AN61">
        <v>58.62</v>
      </c>
      <c r="AO61">
        <v>7.57</v>
      </c>
      <c r="AP61">
        <v>0</v>
      </c>
      <c r="AQ61">
        <v>0.6</v>
      </c>
      <c r="AR61">
        <v>0</v>
      </c>
      <c r="AS61">
        <v>0</v>
      </c>
      <c r="AT61">
        <v>119</v>
      </c>
      <c r="AU61">
        <v>75</v>
      </c>
      <c r="AV61">
        <v>1.0469999999999999</v>
      </c>
      <c r="AW61">
        <v>1.079</v>
      </c>
      <c r="AZ61">
        <v>1</v>
      </c>
      <c r="BA61">
        <v>21.43</v>
      </c>
      <c r="BB61">
        <v>6.11</v>
      </c>
      <c r="BC61">
        <v>1</v>
      </c>
      <c r="BD61" t="s">
        <v>6</v>
      </c>
      <c r="BE61" t="s">
        <v>6</v>
      </c>
      <c r="BF61" t="s">
        <v>6</v>
      </c>
      <c r="BG61" t="s">
        <v>6</v>
      </c>
      <c r="BH61">
        <v>0</v>
      </c>
      <c r="BI61">
        <v>1</v>
      </c>
      <c r="BJ61" t="s">
        <v>60</v>
      </c>
      <c r="BM61">
        <v>1987</v>
      </c>
      <c r="BN61">
        <v>0</v>
      </c>
      <c r="BO61" t="s">
        <v>57</v>
      </c>
      <c r="BP61">
        <v>1</v>
      </c>
      <c r="BQ61">
        <v>30</v>
      </c>
      <c r="BR61">
        <v>0</v>
      </c>
      <c r="BS61">
        <v>21.43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6</v>
      </c>
      <c r="BZ61">
        <v>119</v>
      </c>
      <c r="CA61">
        <v>75</v>
      </c>
      <c r="CE61">
        <v>30</v>
      </c>
      <c r="CF61">
        <v>0</v>
      </c>
      <c r="CG61">
        <v>0</v>
      </c>
      <c r="CM61">
        <v>0</v>
      </c>
      <c r="CN61" t="s">
        <v>6</v>
      </c>
      <c r="CO61">
        <v>0</v>
      </c>
      <c r="CP61">
        <f t="shared" ref="CP61:CP67" si="157">(P61+Q61+S61)</f>
        <v>8086.6699999999992</v>
      </c>
      <c r="CQ61">
        <f t="shared" ref="CQ61:CQ67" si="158">ROUND((ROUND((AC61*AW61*1),2)*BC61),2)</f>
        <v>0</v>
      </c>
      <c r="CR61">
        <f t="shared" ref="CR61:CR67" si="159">(ROUND((ROUND(((ET61)*AV61*1),2)*BB61),2)+ROUND((ROUND(((AE61-(EU61))*AV61*1),2)*BS61),2))</f>
        <v>7916.73</v>
      </c>
      <c r="CS61">
        <f t="shared" ref="CS61:CS67" si="160">ROUND((ROUND((AE61*AV61*1),2)*BS61),2)</f>
        <v>1315.37</v>
      </c>
      <c r="CT61">
        <f t="shared" ref="CT61:CT67" si="161">ROUND((ROUND((AF61*AV61*1),2)*BA61),2)</f>
        <v>169.94</v>
      </c>
      <c r="CU61">
        <f t="shared" ref="CU61:CU67" si="162">AG61</f>
        <v>0</v>
      </c>
      <c r="CV61">
        <f t="shared" ref="CV61:CV67" si="163">(AH61*AV61)</f>
        <v>0.62819999999999998</v>
      </c>
      <c r="CW61">
        <f t="shared" ref="CW61:CX67" si="164">AI61</f>
        <v>0</v>
      </c>
      <c r="CX61">
        <f t="shared" si="164"/>
        <v>0</v>
      </c>
      <c r="CY61">
        <f t="shared" ref="CY61:CY67" si="165">S61*(BZ61/100)</f>
        <v>202.2286</v>
      </c>
      <c r="CZ61">
        <f t="shared" ref="CZ61:CZ67" si="166">S61*(CA61/100)</f>
        <v>127.455</v>
      </c>
      <c r="DC61" t="s">
        <v>6</v>
      </c>
      <c r="DD61" t="s">
        <v>6</v>
      </c>
      <c r="DE61" t="s">
        <v>6</v>
      </c>
      <c r="DF61" t="s">
        <v>6</v>
      </c>
      <c r="DG61" t="s">
        <v>6</v>
      </c>
      <c r="DH61" t="s">
        <v>6</v>
      </c>
      <c r="DI61" t="s">
        <v>6</v>
      </c>
      <c r="DJ61" t="s">
        <v>6</v>
      </c>
      <c r="DK61" t="s">
        <v>6</v>
      </c>
      <c r="DL61" t="s">
        <v>6</v>
      </c>
      <c r="DM61" t="s">
        <v>6</v>
      </c>
      <c r="DN61">
        <v>149</v>
      </c>
      <c r="DO61">
        <v>158</v>
      </c>
      <c r="DP61">
        <v>1.0469999999999999</v>
      </c>
      <c r="DQ61">
        <v>1.079</v>
      </c>
      <c r="DU61">
        <v>1013</v>
      </c>
      <c r="DV61" t="s">
        <v>59</v>
      </c>
      <c r="DW61" t="s">
        <v>59</v>
      </c>
      <c r="DX61">
        <v>1</v>
      </c>
      <c r="EE61">
        <v>44065808</v>
      </c>
      <c r="EF61">
        <v>30</v>
      </c>
      <c r="EG61" t="s">
        <v>29</v>
      </c>
      <c r="EH61">
        <v>0</v>
      </c>
      <c r="EI61" t="s">
        <v>6</v>
      </c>
      <c r="EJ61">
        <v>1</v>
      </c>
      <c r="EK61">
        <v>1987</v>
      </c>
      <c r="EL61" t="s">
        <v>61</v>
      </c>
      <c r="EM61" t="s">
        <v>62</v>
      </c>
      <c r="EO61" t="s">
        <v>6</v>
      </c>
      <c r="EQ61">
        <v>0</v>
      </c>
      <c r="ER61">
        <v>1245.1099999999999</v>
      </c>
      <c r="ES61">
        <v>0</v>
      </c>
      <c r="ET61">
        <v>1237.54</v>
      </c>
      <c r="EU61">
        <v>58.62</v>
      </c>
      <c r="EV61">
        <v>7.57</v>
      </c>
      <c r="EW61">
        <v>0.6</v>
      </c>
      <c r="EX61">
        <v>0</v>
      </c>
      <c r="EY61">
        <v>0</v>
      </c>
      <c r="FQ61">
        <v>0</v>
      </c>
      <c r="FR61">
        <f t="shared" ref="FR61:FR67" si="167">ROUND(IF(AND(BH61=3,BI61=3),P61,0),2)</f>
        <v>0</v>
      </c>
      <c r="FS61">
        <v>0</v>
      </c>
      <c r="FX61">
        <v>149</v>
      </c>
      <c r="FY61">
        <v>158</v>
      </c>
      <c r="GA61" t="s">
        <v>6</v>
      </c>
      <c r="GD61">
        <v>0</v>
      </c>
      <c r="GF61">
        <v>116028939</v>
      </c>
      <c r="GG61">
        <v>2</v>
      </c>
      <c r="GH61">
        <v>1</v>
      </c>
      <c r="GI61">
        <v>2</v>
      </c>
      <c r="GJ61">
        <v>0</v>
      </c>
      <c r="GK61">
        <f>ROUND(R61*(R12)/100,2)</f>
        <v>2065.13</v>
      </c>
      <c r="GL61">
        <f t="shared" ref="GL61:GL67" si="168">ROUND(IF(AND(BH61=3,BI61=3,FS61&lt;&gt;0),P61,0),2)</f>
        <v>0</v>
      </c>
      <c r="GM61">
        <f t="shared" ref="GM61:GM67" si="169">ROUND(O61+X61+Y61+GK61,2)+GX61</f>
        <v>10481.49</v>
      </c>
      <c r="GN61">
        <f t="shared" ref="GN61:GN67" si="170">IF(OR(BI61=0,BI61=1),ROUND(O61+X61+Y61+GK61,2),0)</f>
        <v>10481.49</v>
      </c>
      <c r="GO61">
        <f t="shared" ref="GO61:GO67" si="171">IF(BI61=2,ROUND(O61+X61+Y61+GK61,2),0)</f>
        <v>0</v>
      </c>
      <c r="GP61">
        <f t="shared" ref="GP61:GP67" si="172">IF(BI61=4,ROUND(O61+X61+Y61+GK61,2)+GX61,0)</f>
        <v>0</v>
      </c>
      <c r="GR61">
        <v>0</v>
      </c>
      <c r="GS61">
        <v>0</v>
      </c>
      <c r="GT61">
        <v>0</v>
      </c>
      <c r="GU61" t="s">
        <v>6</v>
      </c>
      <c r="GV61">
        <f t="shared" ref="GV61:GV67" si="173">ROUND((GT61),6)</f>
        <v>0</v>
      </c>
      <c r="GW61">
        <v>1</v>
      </c>
      <c r="GX61">
        <f t="shared" ref="GX61:GX67" si="174">ROUND(HC61*I61,2)</f>
        <v>0</v>
      </c>
      <c r="HA61">
        <v>0</v>
      </c>
      <c r="HB61">
        <v>0</v>
      </c>
      <c r="HC61">
        <f t="shared" ref="HC61:HC67" si="175">GV61*GW61</f>
        <v>0</v>
      </c>
      <c r="IK61">
        <v>0</v>
      </c>
    </row>
    <row r="62" spans="1:245" x14ac:dyDescent="0.2">
      <c r="A62">
        <v>17</v>
      </c>
      <c r="B62">
        <v>1</v>
      </c>
      <c r="C62">
        <f>ROW(SmtRes!A86)</f>
        <v>86</v>
      </c>
      <c r="D62">
        <f>ROW(EtalonRes!A84)</f>
        <v>84</v>
      </c>
      <c r="E62" t="s">
        <v>114</v>
      </c>
      <c r="F62" t="s">
        <v>64</v>
      </c>
      <c r="G62" t="s">
        <v>65</v>
      </c>
      <c r="H62" t="s">
        <v>66</v>
      </c>
      <c r="I62">
        <v>70</v>
      </c>
      <c r="J62">
        <v>0</v>
      </c>
      <c r="O62">
        <f t="shared" si="140"/>
        <v>979303</v>
      </c>
      <c r="P62">
        <f t="shared" si="141"/>
        <v>11340.51</v>
      </c>
      <c r="Q62">
        <f t="shared" si="142"/>
        <v>919949</v>
      </c>
      <c r="R62">
        <f t="shared" si="143"/>
        <v>174729.72</v>
      </c>
      <c r="S62">
        <f t="shared" si="144"/>
        <v>48013.49</v>
      </c>
      <c r="T62">
        <f t="shared" si="145"/>
        <v>0</v>
      </c>
      <c r="U62">
        <f t="shared" si="146"/>
        <v>162.7038</v>
      </c>
      <c r="V62">
        <f t="shared" si="147"/>
        <v>0</v>
      </c>
      <c r="W62">
        <f t="shared" si="148"/>
        <v>0</v>
      </c>
      <c r="X62">
        <f t="shared" si="149"/>
        <v>57136.05</v>
      </c>
      <c r="Y62">
        <f t="shared" si="149"/>
        <v>36010.120000000003</v>
      </c>
      <c r="AA62">
        <v>44175489</v>
      </c>
      <c r="AB62">
        <f t="shared" si="150"/>
        <v>2071.63</v>
      </c>
      <c r="AC62">
        <f t="shared" si="151"/>
        <v>35.92</v>
      </c>
      <c r="AD62">
        <f t="shared" si="152"/>
        <v>2005.14</v>
      </c>
      <c r="AE62">
        <f t="shared" si="153"/>
        <v>111.25</v>
      </c>
      <c r="AF62">
        <f t="shared" si="153"/>
        <v>30.57</v>
      </c>
      <c r="AG62">
        <f t="shared" si="154"/>
        <v>0</v>
      </c>
      <c r="AH62">
        <f t="shared" si="155"/>
        <v>2.2200000000000002</v>
      </c>
      <c r="AI62">
        <f t="shared" si="155"/>
        <v>0</v>
      </c>
      <c r="AJ62">
        <f t="shared" si="156"/>
        <v>0</v>
      </c>
      <c r="AK62">
        <v>2071.63</v>
      </c>
      <c r="AL62">
        <v>35.92</v>
      </c>
      <c r="AM62">
        <v>2005.14</v>
      </c>
      <c r="AN62">
        <v>111.25</v>
      </c>
      <c r="AO62">
        <v>30.57</v>
      </c>
      <c r="AP62">
        <v>0</v>
      </c>
      <c r="AQ62">
        <v>2.2200000000000002</v>
      </c>
      <c r="AR62">
        <v>0</v>
      </c>
      <c r="AS62">
        <v>0</v>
      </c>
      <c r="AT62">
        <v>119</v>
      </c>
      <c r="AU62">
        <v>75</v>
      </c>
      <c r="AV62">
        <v>1.0469999999999999</v>
      </c>
      <c r="AW62">
        <v>1.079</v>
      </c>
      <c r="AZ62">
        <v>1</v>
      </c>
      <c r="BA62">
        <v>21.43</v>
      </c>
      <c r="BB62">
        <v>6.26</v>
      </c>
      <c r="BC62">
        <v>4.18</v>
      </c>
      <c r="BD62" t="s">
        <v>6</v>
      </c>
      <c r="BE62" t="s">
        <v>6</v>
      </c>
      <c r="BF62" t="s">
        <v>6</v>
      </c>
      <c r="BG62" t="s">
        <v>6</v>
      </c>
      <c r="BH62">
        <v>0</v>
      </c>
      <c r="BI62">
        <v>1</v>
      </c>
      <c r="BJ62" t="s">
        <v>67</v>
      </c>
      <c r="BM62">
        <v>1989</v>
      </c>
      <c r="BN62">
        <v>0</v>
      </c>
      <c r="BO62" t="s">
        <v>64</v>
      </c>
      <c r="BP62">
        <v>1</v>
      </c>
      <c r="BQ62">
        <v>30</v>
      </c>
      <c r="BR62">
        <v>0</v>
      </c>
      <c r="BS62">
        <v>21.43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6</v>
      </c>
      <c r="BZ62">
        <v>119</v>
      </c>
      <c r="CA62">
        <v>75</v>
      </c>
      <c r="CE62">
        <v>30</v>
      </c>
      <c r="CF62">
        <v>0</v>
      </c>
      <c r="CG62">
        <v>0</v>
      </c>
      <c r="CM62">
        <v>0</v>
      </c>
      <c r="CN62" t="s">
        <v>6</v>
      </c>
      <c r="CO62">
        <v>0</v>
      </c>
      <c r="CP62">
        <f t="shared" si="157"/>
        <v>979303</v>
      </c>
      <c r="CQ62">
        <f t="shared" si="158"/>
        <v>162.02000000000001</v>
      </c>
      <c r="CR62">
        <f t="shared" si="159"/>
        <v>13142.12</v>
      </c>
      <c r="CS62">
        <f t="shared" si="160"/>
        <v>2496.17</v>
      </c>
      <c r="CT62">
        <f t="shared" si="161"/>
        <v>685.97</v>
      </c>
      <c r="CU62">
        <f t="shared" si="162"/>
        <v>0</v>
      </c>
      <c r="CV62">
        <f t="shared" si="163"/>
        <v>2.3243399999999999</v>
      </c>
      <c r="CW62">
        <f t="shared" si="164"/>
        <v>0</v>
      </c>
      <c r="CX62">
        <f t="shared" si="164"/>
        <v>0</v>
      </c>
      <c r="CY62">
        <f t="shared" si="165"/>
        <v>57136.053099999997</v>
      </c>
      <c r="CZ62">
        <f t="shared" si="166"/>
        <v>36010.1175</v>
      </c>
      <c r="DC62" t="s">
        <v>6</v>
      </c>
      <c r="DD62" t="s">
        <v>6</v>
      </c>
      <c r="DE62" t="s">
        <v>6</v>
      </c>
      <c r="DF62" t="s">
        <v>6</v>
      </c>
      <c r="DG62" t="s">
        <v>6</v>
      </c>
      <c r="DH62" t="s">
        <v>6</v>
      </c>
      <c r="DI62" t="s">
        <v>6</v>
      </c>
      <c r="DJ62" t="s">
        <v>6</v>
      </c>
      <c r="DK62" t="s">
        <v>6</v>
      </c>
      <c r="DL62" t="s">
        <v>6</v>
      </c>
      <c r="DM62" t="s">
        <v>6</v>
      </c>
      <c r="DN62">
        <v>149</v>
      </c>
      <c r="DO62">
        <v>158</v>
      </c>
      <c r="DP62">
        <v>1.0469999999999999</v>
      </c>
      <c r="DQ62">
        <v>1.079</v>
      </c>
      <c r="DU62">
        <v>1013</v>
      </c>
      <c r="DV62" t="s">
        <v>66</v>
      </c>
      <c r="DW62" t="s">
        <v>66</v>
      </c>
      <c r="DX62">
        <v>1</v>
      </c>
      <c r="EE62">
        <v>44065810</v>
      </c>
      <c r="EF62">
        <v>30</v>
      </c>
      <c r="EG62" t="s">
        <v>29</v>
      </c>
      <c r="EH62">
        <v>0</v>
      </c>
      <c r="EI62" t="s">
        <v>6</v>
      </c>
      <c r="EJ62">
        <v>1</v>
      </c>
      <c r="EK62">
        <v>1989</v>
      </c>
      <c r="EL62" t="s">
        <v>68</v>
      </c>
      <c r="EM62" t="s">
        <v>69</v>
      </c>
      <c r="EO62" t="s">
        <v>6</v>
      </c>
      <c r="EQ62">
        <v>0</v>
      </c>
      <c r="ER62">
        <v>2071.63</v>
      </c>
      <c r="ES62">
        <v>35.92</v>
      </c>
      <c r="ET62">
        <v>2005.14</v>
      </c>
      <c r="EU62">
        <v>111.25</v>
      </c>
      <c r="EV62">
        <v>30.57</v>
      </c>
      <c r="EW62">
        <v>2.2200000000000002</v>
      </c>
      <c r="EX62">
        <v>0</v>
      </c>
      <c r="EY62">
        <v>0</v>
      </c>
      <c r="FQ62">
        <v>0</v>
      </c>
      <c r="FR62">
        <f t="shared" si="167"/>
        <v>0</v>
      </c>
      <c r="FS62">
        <v>0</v>
      </c>
      <c r="FX62">
        <v>149</v>
      </c>
      <c r="FY62">
        <v>158</v>
      </c>
      <c r="GA62" t="s">
        <v>6</v>
      </c>
      <c r="GD62">
        <v>0</v>
      </c>
      <c r="GF62">
        <v>1035110979</v>
      </c>
      <c r="GG62">
        <v>2</v>
      </c>
      <c r="GH62">
        <v>1</v>
      </c>
      <c r="GI62">
        <v>2</v>
      </c>
      <c r="GJ62">
        <v>0</v>
      </c>
      <c r="GK62">
        <f>ROUND(R62*(R12)/100,2)</f>
        <v>274325.65999999997</v>
      </c>
      <c r="GL62">
        <f t="shared" si="168"/>
        <v>0</v>
      </c>
      <c r="GM62">
        <f t="shared" si="169"/>
        <v>1346774.83</v>
      </c>
      <c r="GN62">
        <f t="shared" si="170"/>
        <v>1346774.83</v>
      </c>
      <c r="GO62">
        <f t="shared" si="171"/>
        <v>0</v>
      </c>
      <c r="GP62">
        <f t="shared" si="172"/>
        <v>0</v>
      </c>
      <c r="GR62">
        <v>0</v>
      </c>
      <c r="GS62">
        <v>0</v>
      </c>
      <c r="GT62">
        <v>0</v>
      </c>
      <c r="GU62" t="s">
        <v>6</v>
      </c>
      <c r="GV62">
        <f t="shared" si="173"/>
        <v>0</v>
      </c>
      <c r="GW62">
        <v>1</v>
      </c>
      <c r="GX62">
        <f t="shared" si="174"/>
        <v>0</v>
      </c>
      <c r="HA62">
        <v>0</v>
      </c>
      <c r="HB62">
        <v>0</v>
      </c>
      <c r="HC62">
        <f t="shared" si="175"/>
        <v>0</v>
      </c>
      <c r="IK62">
        <v>0</v>
      </c>
    </row>
    <row r="63" spans="1:245" x14ac:dyDescent="0.2">
      <c r="A63">
        <v>18</v>
      </c>
      <c r="B63">
        <v>1</v>
      </c>
      <c r="C63">
        <v>83</v>
      </c>
      <c r="E63" t="s">
        <v>115</v>
      </c>
      <c r="F63" t="s">
        <v>71</v>
      </c>
      <c r="G63" t="s">
        <v>72</v>
      </c>
      <c r="H63" t="s">
        <v>73</v>
      </c>
      <c r="I63">
        <f>I62*J63</f>
        <v>12544</v>
      </c>
      <c r="J63">
        <v>179.2</v>
      </c>
      <c r="O63">
        <f t="shared" si="140"/>
        <v>614839.81999999995</v>
      </c>
      <c r="P63">
        <f t="shared" si="141"/>
        <v>614839.81999999995</v>
      </c>
      <c r="Q63">
        <f t="shared" si="142"/>
        <v>0</v>
      </c>
      <c r="R63">
        <f t="shared" si="143"/>
        <v>0</v>
      </c>
      <c r="S63">
        <f t="shared" si="144"/>
        <v>0</v>
      </c>
      <c r="T63">
        <f t="shared" si="145"/>
        <v>0</v>
      </c>
      <c r="U63">
        <f t="shared" si="146"/>
        <v>0</v>
      </c>
      <c r="V63">
        <f t="shared" si="147"/>
        <v>0</v>
      </c>
      <c r="W63">
        <f t="shared" si="148"/>
        <v>0</v>
      </c>
      <c r="X63">
        <f t="shared" si="149"/>
        <v>0</v>
      </c>
      <c r="Y63">
        <f t="shared" si="149"/>
        <v>0</v>
      </c>
      <c r="AA63">
        <v>44175489</v>
      </c>
      <c r="AB63">
        <f t="shared" si="150"/>
        <v>11.3</v>
      </c>
      <c r="AC63">
        <f t="shared" si="151"/>
        <v>11.3</v>
      </c>
      <c r="AD63">
        <f t="shared" si="152"/>
        <v>0</v>
      </c>
      <c r="AE63">
        <f t="shared" si="153"/>
        <v>0</v>
      </c>
      <c r="AF63">
        <f t="shared" si="153"/>
        <v>0</v>
      </c>
      <c r="AG63">
        <f t="shared" si="154"/>
        <v>0</v>
      </c>
      <c r="AH63">
        <f t="shared" si="155"/>
        <v>0</v>
      </c>
      <c r="AI63">
        <f t="shared" si="155"/>
        <v>0</v>
      </c>
      <c r="AJ63">
        <f t="shared" si="156"/>
        <v>0</v>
      </c>
      <c r="AK63">
        <v>11.3</v>
      </c>
      <c r="AL63">
        <v>11.3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1</v>
      </c>
      <c r="AW63">
        <v>1.079</v>
      </c>
      <c r="AZ63">
        <v>1</v>
      </c>
      <c r="BA63">
        <v>1</v>
      </c>
      <c r="BB63">
        <v>1</v>
      </c>
      <c r="BC63">
        <v>4.0199999999999996</v>
      </c>
      <c r="BD63" t="s">
        <v>6</v>
      </c>
      <c r="BE63" t="s">
        <v>6</v>
      </c>
      <c r="BF63" t="s">
        <v>6</v>
      </c>
      <c r="BG63" t="s">
        <v>6</v>
      </c>
      <c r="BH63">
        <v>3</v>
      </c>
      <c r="BI63">
        <v>1</v>
      </c>
      <c r="BJ63" t="s">
        <v>74</v>
      </c>
      <c r="BM63">
        <v>1989</v>
      </c>
      <c r="BN63">
        <v>0</v>
      </c>
      <c r="BO63" t="s">
        <v>71</v>
      </c>
      <c r="BP63">
        <v>1</v>
      </c>
      <c r="BQ63">
        <v>30</v>
      </c>
      <c r="BR63">
        <v>0</v>
      </c>
      <c r="BS63">
        <v>1</v>
      </c>
      <c r="BT63">
        <v>1</v>
      </c>
      <c r="BU63">
        <v>1</v>
      </c>
      <c r="BV63">
        <v>1</v>
      </c>
      <c r="BW63">
        <v>1</v>
      </c>
      <c r="BX63">
        <v>1</v>
      </c>
      <c r="BY63" t="s">
        <v>6</v>
      </c>
      <c r="BZ63">
        <v>0</v>
      </c>
      <c r="CA63">
        <v>0</v>
      </c>
      <c r="CE63">
        <v>30</v>
      </c>
      <c r="CF63">
        <v>0</v>
      </c>
      <c r="CG63">
        <v>0</v>
      </c>
      <c r="CM63">
        <v>0</v>
      </c>
      <c r="CN63" t="s">
        <v>6</v>
      </c>
      <c r="CO63">
        <v>0</v>
      </c>
      <c r="CP63">
        <f t="shared" si="157"/>
        <v>614839.81999999995</v>
      </c>
      <c r="CQ63">
        <f t="shared" si="158"/>
        <v>49</v>
      </c>
      <c r="CR63">
        <f t="shared" si="159"/>
        <v>0</v>
      </c>
      <c r="CS63">
        <f t="shared" si="160"/>
        <v>0</v>
      </c>
      <c r="CT63">
        <f t="shared" si="161"/>
        <v>0</v>
      </c>
      <c r="CU63">
        <f t="shared" si="162"/>
        <v>0</v>
      </c>
      <c r="CV63">
        <f t="shared" si="163"/>
        <v>0</v>
      </c>
      <c r="CW63">
        <f t="shared" si="164"/>
        <v>0</v>
      </c>
      <c r="CX63">
        <f t="shared" si="164"/>
        <v>0</v>
      </c>
      <c r="CY63">
        <f t="shared" si="165"/>
        <v>0</v>
      </c>
      <c r="CZ63">
        <f t="shared" si="166"/>
        <v>0</v>
      </c>
      <c r="DC63" t="s">
        <v>6</v>
      </c>
      <c r="DD63" t="s">
        <v>6</v>
      </c>
      <c r="DE63" t="s">
        <v>6</v>
      </c>
      <c r="DF63" t="s">
        <v>6</v>
      </c>
      <c r="DG63" t="s">
        <v>6</v>
      </c>
      <c r="DH63" t="s">
        <v>6</v>
      </c>
      <c r="DI63" t="s">
        <v>6</v>
      </c>
      <c r="DJ63" t="s">
        <v>6</v>
      </c>
      <c r="DK63" t="s">
        <v>6</v>
      </c>
      <c r="DL63" t="s">
        <v>6</v>
      </c>
      <c r="DM63" t="s">
        <v>6</v>
      </c>
      <c r="DN63">
        <v>149</v>
      </c>
      <c r="DO63">
        <v>158</v>
      </c>
      <c r="DP63">
        <v>1.0469999999999999</v>
      </c>
      <c r="DQ63">
        <v>1.079</v>
      </c>
      <c r="DU63">
        <v>1009</v>
      </c>
      <c r="DV63" t="s">
        <v>73</v>
      </c>
      <c r="DW63" t="s">
        <v>73</v>
      </c>
      <c r="DX63">
        <v>1</v>
      </c>
      <c r="EE63">
        <v>44065810</v>
      </c>
      <c r="EF63">
        <v>30</v>
      </c>
      <c r="EG63" t="s">
        <v>29</v>
      </c>
      <c r="EH63">
        <v>0</v>
      </c>
      <c r="EI63" t="s">
        <v>6</v>
      </c>
      <c r="EJ63">
        <v>1</v>
      </c>
      <c r="EK63">
        <v>1989</v>
      </c>
      <c r="EL63" t="s">
        <v>68</v>
      </c>
      <c r="EM63" t="s">
        <v>69</v>
      </c>
      <c r="EO63" t="s">
        <v>6</v>
      </c>
      <c r="EQ63">
        <v>0</v>
      </c>
      <c r="ER63">
        <v>11.3</v>
      </c>
      <c r="ES63">
        <v>11.3</v>
      </c>
      <c r="ET63">
        <v>0</v>
      </c>
      <c r="EU63">
        <v>0</v>
      </c>
      <c r="EV63">
        <v>0</v>
      </c>
      <c r="EW63">
        <v>0</v>
      </c>
      <c r="EX63">
        <v>0</v>
      </c>
      <c r="FQ63">
        <v>0</v>
      </c>
      <c r="FR63">
        <f t="shared" si="167"/>
        <v>0</v>
      </c>
      <c r="FS63">
        <v>0</v>
      </c>
      <c r="FX63">
        <v>149</v>
      </c>
      <c r="FY63">
        <v>158</v>
      </c>
      <c r="GA63" t="s">
        <v>6</v>
      </c>
      <c r="GD63">
        <v>0</v>
      </c>
      <c r="GF63">
        <v>185995085</v>
      </c>
      <c r="GG63">
        <v>2</v>
      </c>
      <c r="GH63">
        <v>1</v>
      </c>
      <c r="GI63">
        <v>2</v>
      </c>
      <c r="GJ63">
        <v>0</v>
      </c>
      <c r="GK63">
        <f>ROUND(R63*(R12)/100,2)</f>
        <v>0</v>
      </c>
      <c r="GL63">
        <f t="shared" si="168"/>
        <v>0</v>
      </c>
      <c r="GM63">
        <f t="shared" si="169"/>
        <v>614839.81999999995</v>
      </c>
      <c r="GN63">
        <f t="shared" si="170"/>
        <v>614839.81999999995</v>
      </c>
      <c r="GO63">
        <f t="shared" si="171"/>
        <v>0</v>
      </c>
      <c r="GP63">
        <f t="shared" si="172"/>
        <v>0</v>
      </c>
      <c r="GR63">
        <v>0</v>
      </c>
      <c r="GS63">
        <v>0</v>
      </c>
      <c r="GT63">
        <v>0</v>
      </c>
      <c r="GU63" t="s">
        <v>6</v>
      </c>
      <c r="GV63">
        <f t="shared" si="173"/>
        <v>0</v>
      </c>
      <c r="GW63">
        <v>1</v>
      </c>
      <c r="GX63">
        <f t="shared" si="174"/>
        <v>0</v>
      </c>
      <c r="HA63">
        <v>0</v>
      </c>
      <c r="HB63">
        <v>0</v>
      </c>
      <c r="HC63">
        <f t="shared" si="175"/>
        <v>0</v>
      </c>
      <c r="IK63">
        <v>0</v>
      </c>
    </row>
    <row r="64" spans="1:245" x14ac:dyDescent="0.2">
      <c r="A64">
        <v>18</v>
      </c>
      <c r="B64">
        <v>1</v>
      </c>
      <c r="C64">
        <v>86</v>
      </c>
      <c r="E64" t="s">
        <v>116</v>
      </c>
      <c r="F64" t="s">
        <v>76</v>
      </c>
      <c r="G64" t="s">
        <v>77</v>
      </c>
      <c r="H64" t="s">
        <v>78</v>
      </c>
      <c r="I64">
        <f>I62*J64</f>
        <v>216</v>
      </c>
      <c r="J64">
        <v>3.0857142857142859</v>
      </c>
      <c r="O64">
        <f t="shared" si="140"/>
        <v>491047.11</v>
      </c>
      <c r="P64">
        <f t="shared" si="141"/>
        <v>491047.11</v>
      </c>
      <c r="Q64">
        <f t="shared" si="142"/>
        <v>0</v>
      </c>
      <c r="R64">
        <f t="shared" si="143"/>
        <v>0</v>
      </c>
      <c r="S64">
        <f t="shared" si="144"/>
        <v>0</v>
      </c>
      <c r="T64">
        <f t="shared" si="145"/>
        <v>0</v>
      </c>
      <c r="U64">
        <f t="shared" si="146"/>
        <v>0</v>
      </c>
      <c r="V64">
        <f t="shared" si="147"/>
        <v>0</v>
      </c>
      <c r="W64">
        <f t="shared" si="148"/>
        <v>0</v>
      </c>
      <c r="X64">
        <f t="shared" si="149"/>
        <v>0</v>
      </c>
      <c r="Y64">
        <f t="shared" si="149"/>
        <v>0</v>
      </c>
      <c r="AA64">
        <v>44175489</v>
      </c>
      <c r="AB64">
        <f t="shared" si="150"/>
        <v>707.02</v>
      </c>
      <c r="AC64">
        <f t="shared" si="151"/>
        <v>707.02</v>
      </c>
      <c r="AD64">
        <f t="shared" si="152"/>
        <v>0</v>
      </c>
      <c r="AE64">
        <f t="shared" si="153"/>
        <v>0</v>
      </c>
      <c r="AF64">
        <f t="shared" si="153"/>
        <v>0</v>
      </c>
      <c r="AG64">
        <f t="shared" si="154"/>
        <v>0</v>
      </c>
      <c r="AH64">
        <f t="shared" si="155"/>
        <v>0</v>
      </c>
      <c r="AI64">
        <f t="shared" si="155"/>
        <v>0</v>
      </c>
      <c r="AJ64">
        <f t="shared" si="156"/>
        <v>0</v>
      </c>
      <c r="AK64">
        <v>707.02</v>
      </c>
      <c r="AL64">
        <v>707.02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1</v>
      </c>
      <c r="AW64">
        <v>1.079</v>
      </c>
      <c r="AZ64">
        <v>1</v>
      </c>
      <c r="BA64">
        <v>1</v>
      </c>
      <c r="BB64">
        <v>1</v>
      </c>
      <c r="BC64">
        <v>2.98</v>
      </c>
      <c r="BD64" t="s">
        <v>6</v>
      </c>
      <c r="BE64" t="s">
        <v>6</v>
      </c>
      <c r="BF64" t="s">
        <v>6</v>
      </c>
      <c r="BG64" t="s">
        <v>6</v>
      </c>
      <c r="BH64">
        <v>3</v>
      </c>
      <c r="BI64">
        <v>1</v>
      </c>
      <c r="BJ64" t="s">
        <v>79</v>
      </c>
      <c r="BM64">
        <v>1989</v>
      </c>
      <c r="BN64">
        <v>0</v>
      </c>
      <c r="BO64" t="s">
        <v>76</v>
      </c>
      <c r="BP64">
        <v>1</v>
      </c>
      <c r="BQ64">
        <v>30</v>
      </c>
      <c r="BR64">
        <v>0</v>
      </c>
      <c r="BS64">
        <v>1</v>
      </c>
      <c r="BT64">
        <v>1</v>
      </c>
      <c r="BU64">
        <v>1</v>
      </c>
      <c r="BV64">
        <v>1</v>
      </c>
      <c r="BW64">
        <v>1</v>
      </c>
      <c r="BX64">
        <v>1</v>
      </c>
      <c r="BY64" t="s">
        <v>6</v>
      </c>
      <c r="BZ64">
        <v>0</v>
      </c>
      <c r="CA64">
        <v>0</v>
      </c>
      <c r="CE64">
        <v>30</v>
      </c>
      <c r="CF64">
        <v>0</v>
      </c>
      <c r="CG64">
        <v>0</v>
      </c>
      <c r="CM64">
        <v>0</v>
      </c>
      <c r="CN64" t="s">
        <v>6</v>
      </c>
      <c r="CO64">
        <v>0</v>
      </c>
      <c r="CP64">
        <f t="shared" si="157"/>
        <v>491047.11</v>
      </c>
      <c r="CQ64">
        <f t="shared" si="158"/>
        <v>2273.35</v>
      </c>
      <c r="CR64">
        <f t="shared" si="159"/>
        <v>0</v>
      </c>
      <c r="CS64">
        <f t="shared" si="160"/>
        <v>0</v>
      </c>
      <c r="CT64">
        <f t="shared" si="161"/>
        <v>0</v>
      </c>
      <c r="CU64">
        <f t="shared" si="162"/>
        <v>0</v>
      </c>
      <c r="CV64">
        <f t="shared" si="163"/>
        <v>0</v>
      </c>
      <c r="CW64">
        <f t="shared" si="164"/>
        <v>0</v>
      </c>
      <c r="CX64">
        <f t="shared" si="164"/>
        <v>0</v>
      </c>
      <c r="CY64">
        <f t="shared" si="165"/>
        <v>0</v>
      </c>
      <c r="CZ64">
        <f t="shared" si="166"/>
        <v>0</v>
      </c>
      <c r="DC64" t="s">
        <v>6</v>
      </c>
      <c r="DD64" t="s">
        <v>6</v>
      </c>
      <c r="DE64" t="s">
        <v>6</v>
      </c>
      <c r="DF64" t="s">
        <v>6</v>
      </c>
      <c r="DG64" t="s">
        <v>6</v>
      </c>
      <c r="DH64" t="s">
        <v>6</v>
      </c>
      <c r="DI64" t="s">
        <v>6</v>
      </c>
      <c r="DJ64" t="s">
        <v>6</v>
      </c>
      <c r="DK64" t="s">
        <v>6</v>
      </c>
      <c r="DL64" t="s">
        <v>6</v>
      </c>
      <c r="DM64" t="s">
        <v>6</v>
      </c>
      <c r="DN64">
        <v>149</v>
      </c>
      <c r="DO64">
        <v>158</v>
      </c>
      <c r="DP64">
        <v>1.0469999999999999</v>
      </c>
      <c r="DQ64">
        <v>1.079</v>
      </c>
      <c r="DU64">
        <v>1003</v>
      </c>
      <c r="DV64" t="s">
        <v>78</v>
      </c>
      <c r="DW64" t="s">
        <v>78</v>
      </c>
      <c r="DX64">
        <v>1</v>
      </c>
      <c r="EE64">
        <v>44065810</v>
      </c>
      <c r="EF64">
        <v>30</v>
      </c>
      <c r="EG64" t="s">
        <v>29</v>
      </c>
      <c r="EH64">
        <v>0</v>
      </c>
      <c r="EI64" t="s">
        <v>6</v>
      </c>
      <c r="EJ64">
        <v>1</v>
      </c>
      <c r="EK64">
        <v>1989</v>
      </c>
      <c r="EL64" t="s">
        <v>68</v>
      </c>
      <c r="EM64" t="s">
        <v>69</v>
      </c>
      <c r="EO64" t="s">
        <v>6</v>
      </c>
      <c r="EQ64">
        <v>0</v>
      </c>
      <c r="ER64">
        <v>707.02</v>
      </c>
      <c r="ES64">
        <v>707.02</v>
      </c>
      <c r="ET64">
        <v>0</v>
      </c>
      <c r="EU64">
        <v>0</v>
      </c>
      <c r="EV64">
        <v>0</v>
      </c>
      <c r="EW64">
        <v>0</v>
      </c>
      <c r="EX64">
        <v>0</v>
      </c>
      <c r="FQ64">
        <v>0</v>
      </c>
      <c r="FR64">
        <f t="shared" si="167"/>
        <v>0</v>
      </c>
      <c r="FS64">
        <v>0</v>
      </c>
      <c r="FX64">
        <v>149</v>
      </c>
      <c r="FY64">
        <v>158</v>
      </c>
      <c r="GA64" t="s">
        <v>6</v>
      </c>
      <c r="GD64">
        <v>0</v>
      </c>
      <c r="GF64">
        <v>-203233444</v>
      </c>
      <c r="GG64">
        <v>2</v>
      </c>
      <c r="GH64">
        <v>1</v>
      </c>
      <c r="GI64">
        <v>2</v>
      </c>
      <c r="GJ64">
        <v>0</v>
      </c>
      <c r="GK64">
        <f>ROUND(R64*(R12)/100,2)</f>
        <v>0</v>
      </c>
      <c r="GL64">
        <f t="shared" si="168"/>
        <v>0</v>
      </c>
      <c r="GM64">
        <f t="shared" si="169"/>
        <v>491047.11</v>
      </c>
      <c r="GN64">
        <f t="shared" si="170"/>
        <v>491047.11</v>
      </c>
      <c r="GO64">
        <f t="shared" si="171"/>
        <v>0</v>
      </c>
      <c r="GP64">
        <f t="shared" si="172"/>
        <v>0</v>
      </c>
      <c r="GR64">
        <v>0</v>
      </c>
      <c r="GS64">
        <v>3</v>
      </c>
      <c r="GT64">
        <v>0</v>
      </c>
      <c r="GU64" t="s">
        <v>6</v>
      </c>
      <c r="GV64">
        <f t="shared" si="173"/>
        <v>0</v>
      </c>
      <c r="GW64">
        <v>1</v>
      </c>
      <c r="GX64">
        <f t="shared" si="174"/>
        <v>0</v>
      </c>
      <c r="HA64">
        <v>0</v>
      </c>
      <c r="HB64">
        <v>0</v>
      </c>
      <c r="HC64">
        <f t="shared" si="175"/>
        <v>0</v>
      </c>
      <c r="IK64">
        <v>0</v>
      </c>
    </row>
    <row r="65" spans="1:245" x14ac:dyDescent="0.2">
      <c r="A65">
        <v>18</v>
      </c>
      <c r="B65">
        <v>1</v>
      </c>
      <c r="C65">
        <v>85</v>
      </c>
      <c r="E65" t="s">
        <v>117</v>
      </c>
      <c r="F65" t="s">
        <v>81</v>
      </c>
      <c r="G65" t="s">
        <v>82</v>
      </c>
      <c r="H65" t="s">
        <v>83</v>
      </c>
      <c r="I65">
        <f>I62*J65</f>
        <v>687.23199999999997</v>
      </c>
      <c r="J65">
        <v>9.8175999999999988</v>
      </c>
      <c r="O65">
        <f t="shared" si="140"/>
        <v>331672.49</v>
      </c>
      <c r="P65">
        <f t="shared" si="141"/>
        <v>331672.49</v>
      </c>
      <c r="Q65">
        <f t="shared" si="142"/>
        <v>0</v>
      </c>
      <c r="R65">
        <f t="shared" si="143"/>
        <v>0</v>
      </c>
      <c r="S65">
        <f t="shared" si="144"/>
        <v>0</v>
      </c>
      <c r="T65">
        <f t="shared" si="145"/>
        <v>0</v>
      </c>
      <c r="U65">
        <f t="shared" si="146"/>
        <v>0</v>
      </c>
      <c r="V65">
        <f t="shared" si="147"/>
        <v>0</v>
      </c>
      <c r="W65">
        <f t="shared" si="148"/>
        <v>0</v>
      </c>
      <c r="X65">
        <f t="shared" si="149"/>
        <v>0</v>
      </c>
      <c r="Y65">
        <f t="shared" si="149"/>
        <v>0</v>
      </c>
      <c r="AA65">
        <v>44175489</v>
      </c>
      <c r="AB65">
        <f t="shared" si="150"/>
        <v>95.37</v>
      </c>
      <c r="AC65">
        <f t="shared" si="151"/>
        <v>95.37</v>
      </c>
      <c r="AD65">
        <f t="shared" si="152"/>
        <v>0</v>
      </c>
      <c r="AE65">
        <f t="shared" si="153"/>
        <v>0</v>
      </c>
      <c r="AF65">
        <f t="shared" si="153"/>
        <v>0</v>
      </c>
      <c r="AG65">
        <f t="shared" si="154"/>
        <v>0</v>
      </c>
      <c r="AH65">
        <f t="shared" si="155"/>
        <v>0</v>
      </c>
      <c r="AI65">
        <f t="shared" si="155"/>
        <v>0</v>
      </c>
      <c r="AJ65">
        <f t="shared" si="156"/>
        <v>0</v>
      </c>
      <c r="AK65">
        <v>95.37</v>
      </c>
      <c r="AL65">
        <v>95.37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1</v>
      </c>
      <c r="AW65">
        <v>1.079</v>
      </c>
      <c r="AZ65">
        <v>1</v>
      </c>
      <c r="BA65">
        <v>1</v>
      </c>
      <c r="BB65">
        <v>1</v>
      </c>
      <c r="BC65">
        <v>4.6900000000000004</v>
      </c>
      <c r="BD65" t="s">
        <v>6</v>
      </c>
      <c r="BE65" t="s">
        <v>6</v>
      </c>
      <c r="BF65" t="s">
        <v>6</v>
      </c>
      <c r="BG65" t="s">
        <v>6</v>
      </c>
      <c r="BH65">
        <v>3</v>
      </c>
      <c r="BI65">
        <v>1</v>
      </c>
      <c r="BJ65" t="s">
        <v>84</v>
      </c>
      <c r="BM65">
        <v>1989</v>
      </c>
      <c r="BN65">
        <v>0</v>
      </c>
      <c r="BO65" t="s">
        <v>81</v>
      </c>
      <c r="BP65">
        <v>1</v>
      </c>
      <c r="BQ65">
        <v>30</v>
      </c>
      <c r="BR65">
        <v>0</v>
      </c>
      <c r="BS65">
        <v>1</v>
      </c>
      <c r="BT65">
        <v>1</v>
      </c>
      <c r="BU65">
        <v>1</v>
      </c>
      <c r="BV65">
        <v>1</v>
      </c>
      <c r="BW65">
        <v>1</v>
      </c>
      <c r="BX65">
        <v>1</v>
      </c>
      <c r="BY65" t="s">
        <v>6</v>
      </c>
      <c r="BZ65">
        <v>0</v>
      </c>
      <c r="CA65">
        <v>0</v>
      </c>
      <c r="CE65">
        <v>30</v>
      </c>
      <c r="CF65">
        <v>0</v>
      </c>
      <c r="CG65">
        <v>0</v>
      </c>
      <c r="CM65">
        <v>0</v>
      </c>
      <c r="CN65" t="s">
        <v>6</v>
      </c>
      <c r="CO65">
        <v>0</v>
      </c>
      <c r="CP65">
        <f t="shared" si="157"/>
        <v>331672.49</v>
      </c>
      <c r="CQ65">
        <f t="shared" si="158"/>
        <v>482.6</v>
      </c>
      <c r="CR65">
        <f t="shared" si="159"/>
        <v>0</v>
      </c>
      <c r="CS65">
        <f t="shared" si="160"/>
        <v>0</v>
      </c>
      <c r="CT65">
        <f t="shared" si="161"/>
        <v>0</v>
      </c>
      <c r="CU65">
        <f t="shared" si="162"/>
        <v>0</v>
      </c>
      <c r="CV65">
        <f t="shared" si="163"/>
        <v>0</v>
      </c>
      <c r="CW65">
        <f t="shared" si="164"/>
        <v>0</v>
      </c>
      <c r="CX65">
        <f t="shared" si="164"/>
        <v>0</v>
      </c>
      <c r="CY65">
        <f t="shared" si="165"/>
        <v>0</v>
      </c>
      <c r="CZ65">
        <f t="shared" si="166"/>
        <v>0</v>
      </c>
      <c r="DC65" t="s">
        <v>6</v>
      </c>
      <c r="DD65" t="s">
        <v>6</v>
      </c>
      <c r="DE65" t="s">
        <v>6</v>
      </c>
      <c r="DF65" t="s">
        <v>6</v>
      </c>
      <c r="DG65" t="s">
        <v>6</v>
      </c>
      <c r="DH65" t="s">
        <v>6</v>
      </c>
      <c r="DI65" t="s">
        <v>6</v>
      </c>
      <c r="DJ65" t="s">
        <v>6</v>
      </c>
      <c r="DK65" t="s">
        <v>6</v>
      </c>
      <c r="DL65" t="s">
        <v>6</v>
      </c>
      <c r="DM65" t="s">
        <v>6</v>
      </c>
      <c r="DN65">
        <v>149</v>
      </c>
      <c r="DO65">
        <v>158</v>
      </c>
      <c r="DP65">
        <v>1.0469999999999999</v>
      </c>
      <c r="DQ65">
        <v>1.079</v>
      </c>
      <c r="DU65">
        <v>1002</v>
      </c>
      <c r="DV65" t="s">
        <v>83</v>
      </c>
      <c r="DW65" t="s">
        <v>83</v>
      </c>
      <c r="DX65">
        <v>1</v>
      </c>
      <c r="EE65">
        <v>44065810</v>
      </c>
      <c r="EF65">
        <v>30</v>
      </c>
      <c r="EG65" t="s">
        <v>29</v>
      </c>
      <c r="EH65">
        <v>0</v>
      </c>
      <c r="EI65" t="s">
        <v>6</v>
      </c>
      <c r="EJ65">
        <v>1</v>
      </c>
      <c r="EK65">
        <v>1989</v>
      </c>
      <c r="EL65" t="s">
        <v>68</v>
      </c>
      <c r="EM65" t="s">
        <v>69</v>
      </c>
      <c r="EO65" t="s">
        <v>6</v>
      </c>
      <c r="EQ65">
        <v>0</v>
      </c>
      <c r="ER65">
        <v>95.37</v>
      </c>
      <c r="ES65">
        <v>95.37</v>
      </c>
      <c r="ET65">
        <v>0</v>
      </c>
      <c r="EU65">
        <v>0</v>
      </c>
      <c r="EV65">
        <v>0</v>
      </c>
      <c r="EW65">
        <v>0</v>
      </c>
      <c r="EX65">
        <v>0</v>
      </c>
      <c r="FQ65">
        <v>0</v>
      </c>
      <c r="FR65">
        <f t="shared" si="167"/>
        <v>0</v>
      </c>
      <c r="FS65">
        <v>0</v>
      </c>
      <c r="FX65">
        <v>149</v>
      </c>
      <c r="FY65">
        <v>158</v>
      </c>
      <c r="GA65" t="s">
        <v>6</v>
      </c>
      <c r="GD65">
        <v>0</v>
      </c>
      <c r="GF65">
        <v>-360054125</v>
      </c>
      <c r="GG65">
        <v>2</v>
      </c>
      <c r="GH65">
        <v>1</v>
      </c>
      <c r="GI65">
        <v>2</v>
      </c>
      <c r="GJ65">
        <v>0</v>
      </c>
      <c r="GK65">
        <f>ROUND(R65*(R12)/100,2)</f>
        <v>0</v>
      </c>
      <c r="GL65">
        <f t="shared" si="168"/>
        <v>0</v>
      </c>
      <c r="GM65">
        <f t="shared" si="169"/>
        <v>331672.49</v>
      </c>
      <c r="GN65">
        <f t="shared" si="170"/>
        <v>331672.49</v>
      </c>
      <c r="GO65">
        <f t="shared" si="171"/>
        <v>0</v>
      </c>
      <c r="GP65">
        <f t="shared" si="172"/>
        <v>0</v>
      </c>
      <c r="GR65">
        <v>0</v>
      </c>
      <c r="GS65">
        <v>0</v>
      </c>
      <c r="GT65">
        <v>0</v>
      </c>
      <c r="GU65" t="s">
        <v>6</v>
      </c>
      <c r="GV65">
        <f t="shared" si="173"/>
        <v>0</v>
      </c>
      <c r="GW65">
        <v>1</v>
      </c>
      <c r="GX65">
        <f t="shared" si="174"/>
        <v>0</v>
      </c>
      <c r="HA65">
        <v>0</v>
      </c>
      <c r="HB65">
        <v>0</v>
      </c>
      <c r="HC65">
        <f t="shared" si="175"/>
        <v>0</v>
      </c>
      <c r="IK65">
        <v>0</v>
      </c>
    </row>
    <row r="66" spans="1:245" x14ac:dyDescent="0.2">
      <c r="A66">
        <v>17</v>
      </c>
      <c r="B66">
        <v>1</v>
      </c>
      <c r="C66">
        <f>ROW(SmtRes!A87)</f>
        <v>87</v>
      </c>
      <c r="D66">
        <f>ROW(EtalonRes!A85)</f>
        <v>85</v>
      </c>
      <c r="E66" t="s">
        <v>118</v>
      </c>
      <c r="F66" t="s">
        <v>86</v>
      </c>
      <c r="G66" t="s">
        <v>87</v>
      </c>
      <c r="H66" t="s">
        <v>88</v>
      </c>
      <c r="I66">
        <v>18</v>
      </c>
      <c r="J66">
        <v>0</v>
      </c>
      <c r="O66">
        <f t="shared" si="140"/>
        <v>1169.81</v>
      </c>
      <c r="P66">
        <f t="shared" si="141"/>
        <v>0</v>
      </c>
      <c r="Q66">
        <f t="shared" si="142"/>
        <v>1169.81</v>
      </c>
      <c r="R66">
        <f t="shared" si="143"/>
        <v>238.73</v>
      </c>
      <c r="S66">
        <f t="shared" si="144"/>
        <v>0</v>
      </c>
      <c r="T66">
        <f t="shared" si="145"/>
        <v>0</v>
      </c>
      <c r="U66">
        <f t="shared" si="146"/>
        <v>0</v>
      </c>
      <c r="V66">
        <f t="shared" si="147"/>
        <v>0</v>
      </c>
      <c r="W66">
        <f t="shared" si="148"/>
        <v>0</v>
      </c>
      <c r="X66">
        <f t="shared" si="149"/>
        <v>0</v>
      </c>
      <c r="Y66">
        <f t="shared" si="149"/>
        <v>0</v>
      </c>
      <c r="AA66">
        <v>44175489</v>
      </c>
      <c r="AB66">
        <f t="shared" si="150"/>
        <v>25.7</v>
      </c>
      <c r="AC66">
        <f t="shared" si="151"/>
        <v>0</v>
      </c>
      <c r="AD66">
        <f t="shared" si="152"/>
        <v>25.7</v>
      </c>
      <c r="AE66">
        <f t="shared" si="153"/>
        <v>0.57999999999999996</v>
      </c>
      <c r="AF66">
        <f t="shared" si="153"/>
        <v>0</v>
      </c>
      <c r="AG66">
        <f t="shared" si="154"/>
        <v>0</v>
      </c>
      <c r="AH66">
        <f t="shared" si="155"/>
        <v>0</v>
      </c>
      <c r="AI66">
        <f t="shared" si="155"/>
        <v>0</v>
      </c>
      <c r="AJ66">
        <f t="shared" si="156"/>
        <v>0</v>
      </c>
      <c r="AK66">
        <v>25.7</v>
      </c>
      <c r="AL66">
        <v>0</v>
      </c>
      <c r="AM66">
        <v>25.7</v>
      </c>
      <c r="AN66">
        <v>0.57999999999999996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106</v>
      </c>
      <c r="AU66">
        <v>53</v>
      </c>
      <c r="AV66">
        <v>1.0669999999999999</v>
      </c>
      <c r="AW66">
        <v>1.0029999999999999</v>
      </c>
      <c r="AZ66">
        <v>1</v>
      </c>
      <c r="BA66">
        <v>21.43</v>
      </c>
      <c r="BB66">
        <v>2.37</v>
      </c>
      <c r="BC66">
        <v>1</v>
      </c>
      <c r="BD66" t="s">
        <v>6</v>
      </c>
      <c r="BE66" t="s">
        <v>6</v>
      </c>
      <c r="BF66" t="s">
        <v>6</v>
      </c>
      <c r="BG66" t="s">
        <v>6</v>
      </c>
      <c r="BH66">
        <v>0</v>
      </c>
      <c r="BI66">
        <v>1</v>
      </c>
      <c r="BJ66" t="s">
        <v>89</v>
      </c>
      <c r="BM66">
        <v>140</v>
      </c>
      <c r="BN66">
        <v>0</v>
      </c>
      <c r="BO66" t="s">
        <v>86</v>
      </c>
      <c r="BP66">
        <v>1</v>
      </c>
      <c r="BQ66">
        <v>30</v>
      </c>
      <c r="BR66">
        <v>0</v>
      </c>
      <c r="BS66">
        <v>21.43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6</v>
      </c>
      <c r="BZ66">
        <v>106</v>
      </c>
      <c r="CA66">
        <v>53</v>
      </c>
      <c r="CE66">
        <v>30</v>
      </c>
      <c r="CF66">
        <v>0</v>
      </c>
      <c r="CG66">
        <v>0</v>
      </c>
      <c r="CM66">
        <v>0</v>
      </c>
      <c r="CN66" t="s">
        <v>6</v>
      </c>
      <c r="CO66">
        <v>0</v>
      </c>
      <c r="CP66">
        <f t="shared" si="157"/>
        <v>1169.81</v>
      </c>
      <c r="CQ66">
        <f t="shared" si="158"/>
        <v>0</v>
      </c>
      <c r="CR66">
        <f t="shared" si="159"/>
        <v>64.989999999999995</v>
      </c>
      <c r="CS66">
        <f t="shared" si="160"/>
        <v>13.29</v>
      </c>
      <c r="CT66">
        <f t="shared" si="161"/>
        <v>0</v>
      </c>
      <c r="CU66">
        <f t="shared" si="162"/>
        <v>0</v>
      </c>
      <c r="CV66">
        <f t="shared" si="163"/>
        <v>0</v>
      </c>
      <c r="CW66">
        <f t="shared" si="164"/>
        <v>0</v>
      </c>
      <c r="CX66">
        <f t="shared" si="164"/>
        <v>0</v>
      </c>
      <c r="CY66">
        <f t="shared" si="165"/>
        <v>0</v>
      </c>
      <c r="CZ66">
        <f t="shared" si="166"/>
        <v>0</v>
      </c>
      <c r="DC66" t="s">
        <v>6</v>
      </c>
      <c r="DD66" t="s">
        <v>6</v>
      </c>
      <c r="DE66" t="s">
        <v>6</v>
      </c>
      <c r="DF66" t="s">
        <v>6</v>
      </c>
      <c r="DG66" t="s">
        <v>6</v>
      </c>
      <c r="DH66" t="s">
        <v>6</v>
      </c>
      <c r="DI66" t="s">
        <v>6</v>
      </c>
      <c r="DJ66" t="s">
        <v>6</v>
      </c>
      <c r="DK66" t="s">
        <v>6</v>
      </c>
      <c r="DL66" t="s">
        <v>6</v>
      </c>
      <c r="DM66" t="s">
        <v>6</v>
      </c>
      <c r="DN66">
        <v>133</v>
      </c>
      <c r="DO66">
        <v>113</v>
      </c>
      <c r="DP66">
        <v>1.0669999999999999</v>
      </c>
      <c r="DQ66">
        <v>1.0029999999999999</v>
      </c>
      <c r="DU66">
        <v>1013</v>
      </c>
      <c r="DV66" t="s">
        <v>88</v>
      </c>
      <c r="DW66" t="s">
        <v>88</v>
      </c>
      <c r="DX66">
        <v>1</v>
      </c>
      <c r="EE66">
        <v>44063959</v>
      </c>
      <c r="EF66">
        <v>30</v>
      </c>
      <c r="EG66" t="s">
        <v>29</v>
      </c>
      <c r="EH66">
        <v>0</v>
      </c>
      <c r="EI66" t="s">
        <v>6</v>
      </c>
      <c r="EJ66">
        <v>1</v>
      </c>
      <c r="EK66">
        <v>140</v>
      </c>
      <c r="EL66" t="s">
        <v>90</v>
      </c>
      <c r="EM66" t="s">
        <v>91</v>
      </c>
      <c r="EO66" t="s">
        <v>6</v>
      </c>
      <c r="EQ66">
        <v>0</v>
      </c>
      <c r="ER66">
        <v>25.7</v>
      </c>
      <c r="ES66">
        <v>0</v>
      </c>
      <c r="ET66">
        <v>25.7</v>
      </c>
      <c r="EU66">
        <v>0.57999999999999996</v>
      </c>
      <c r="EV66">
        <v>0</v>
      </c>
      <c r="EW66">
        <v>0</v>
      </c>
      <c r="EX66">
        <v>0</v>
      </c>
      <c r="EY66">
        <v>0</v>
      </c>
      <c r="FQ66">
        <v>0</v>
      </c>
      <c r="FR66">
        <f t="shared" si="167"/>
        <v>0</v>
      </c>
      <c r="FS66">
        <v>0</v>
      </c>
      <c r="FX66">
        <v>133</v>
      </c>
      <c r="FY66">
        <v>113</v>
      </c>
      <c r="GA66" t="s">
        <v>6</v>
      </c>
      <c r="GD66">
        <v>0</v>
      </c>
      <c r="GF66">
        <v>275578643</v>
      </c>
      <c r="GG66">
        <v>2</v>
      </c>
      <c r="GH66">
        <v>1</v>
      </c>
      <c r="GI66">
        <v>2</v>
      </c>
      <c r="GJ66">
        <v>0</v>
      </c>
      <c r="GK66">
        <f>ROUND(R66*(R12)/100,2)</f>
        <v>374.81</v>
      </c>
      <c r="GL66">
        <f t="shared" si="168"/>
        <v>0</v>
      </c>
      <c r="GM66">
        <f t="shared" si="169"/>
        <v>1544.62</v>
      </c>
      <c r="GN66">
        <f t="shared" si="170"/>
        <v>1544.62</v>
      </c>
      <c r="GO66">
        <f t="shared" si="171"/>
        <v>0</v>
      </c>
      <c r="GP66">
        <f t="shared" si="172"/>
        <v>0</v>
      </c>
      <c r="GR66">
        <v>0</v>
      </c>
      <c r="GS66">
        <v>0</v>
      </c>
      <c r="GT66">
        <v>0</v>
      </c>
      <c r="GU66" t="s">
        <v>6</v>
      </c>
      <c r="GV66">
        <f t="shared" si="173"/>
        <v>0</v>
      </c>
      <c r="GW66">
        <v>1</v>
      </c>
      <c r="GX66">
        <f t="shared" si="174"/>
        <v>0</v>
      </c>
      <c r="HA66">
        <v>0</v>
      </c>
      <c r="HB66">
        <v>0</v>
      </c>
      <c r="HC66">
        <f t="shared" si="175"/>
        <v>0</v>
      </c>
      <c r="IK66">
        <v>0</v>
      </c>
    </row>
    <row r="67" spans="1:245" x14ac:dyDescent="0.2">
      <c r="A67">
        <v>17</v>
      </c>
      <c r="B67">
        <v>1</v>
      </c>
      <c r="C67">
        <f>ROW(SmtRes!A89)</f>
        <v>89</v>
      </c>
      <c r="D67">
        <f>ROW(EtalonRes!A87)</f>
        <v>87</v>
      </c>
      <c r="E67" t="s">
        <v>119</v>
      </c>
      <c r="F67" t="s">
        <v>93</v>
      </c>
      <c r="G67" t="s">
        <v>94</v>
      </c>
      <c r="H67" t="s">
        <v>59</v>
      </c>
      <c r="I67">
        <v>1</v>
      </c>
      <c r="J67">
        <v>0</v>
      </c>
      <c r="O67">
        <f t="shared" si="140"/>
        <v>3203.39</v>
      </c>
      <c r="P67">
        <f t="shared" si="141"/>
        <v>0</v>
      </c>
      <c r="Q67">
        <f t="shared" si="142"/>
        <v>3129.89</v>
      </c>
      <c r="R67">
        <f t="shared" si="143"/>
        <v>434.17</v>
      </c>
      <c r="S67">
        <f t="shared" si="144"/>
        <v>73.5</v>
      </c>
      <c r="T67">
        <f t="shared" si="145"/>
        <v>0</v>
      </c>
      <c r="U67">
        <f t="shared" si="146"/>
        <v>0.27222000000000002</v>
      </c>
      <c r="V67">
        <f t="shared" si="147"/>
        <v>0</v>
      </c>
      <c r="W67">
        <f t="shared" si="148"/>
        <v>0</v>
      </c>
      <c r="X67">
        <f t="shared" si="149"/>
        <v>87.47</v>
      </c>
      <c r="Y67">
        <f t="shared" si="149"/>
        <v>55.13</v>
      </c>
      <c r="AA67">
        <v>44175489</v>
      </c>
      <c r="AB67">
        <f t="shared" si="150"/>
        <v>509.96</v>
      </c>
      <c r="AC67">
        <f t="shared" si="151"/>
        <v>0</v>
      </c>
      <c r="AD67">
        <f t="shared" si="152"/>
        <v>506.68</v>
      </c>
      <c r="AE67">
        <f t="shared" si="153"/>
        <v>19.350000000000001</v>
      </c>
      <c r="AF67">
        <f t="shared" si="153"/>
        <v>3.28</v>
      </c>
      <c r="AG67">
        <f t="shared" si="154"/>
        <v>0</v>
      </c>
      <c r="AH67">
        <f t="shared" si="155"/>
        <v>0.26</v>
      </c>
      <c r="AI67">
        <f t="shared" si="155"/>
        <v>0</v>
      </c>
      <c r="AJ67">
        <f t="shared" si="156"/>
        <v>0</v>
      </c>
      <c r="AK67">
        <v>509.96</v>
      </c>
      <c r="AL67">
        <v>0</v>
      </c>
      <c r="AM67">
        <v>506.68</v>
      </c>
      <c r="AN67">
        <v>19.350000000000001</v>
      </c>
      <c r="AO67">
        <v>3.28</v>
      </c>
      <c r="AP67">
        <v>0</v>
      </c>
      <c r="AQ67">
        <v>0.26</v>
      </c>
      <c r="AR67">
        <v>0</v>
      </c>
      <c r="AS67">
        <v>0</v>
      </c>
      <c r="AT67">
        <v>119</v>
      </c>
      <c r="AU67">
        <v>75</v>
      </c>
      <c r="AV67">
        <v>1.0469999999999999</v>
      </c>
      <c r="AW67">
        <v>1.079</v>
      </c>
      <c r="AZ67">
        <v>1</v>
      </c>
      <c r="BA67">
        <v>21.43</v>
      </c>
      <c r="BB67">
        <v>5.9</v>
      </c>
      <c r="BC67">
        <v>1</v>
      </c>
      <c r="BD67" t="s">
        <v>6</v>
      </c>
      <c r="BE67" t="s">
        <v>6</v>
      </c>
      <c r="BF67" t="s">
        <v>6</v>
      </c>
      <c r="BG67" t="s">
        <v>6</v>
      </c>
      <c r="BH67">
        <v>0</v>
      </c>
      <c r="BI67">
        <v>1</v>
      </c>
      <c r="BJ67" t="s">
        <v>95</v>
      </c>
      <c r="BM67">
        <v>1987</v>
      </c>
      <c r="BN67">
        <v>0</v>
      </c>
      <c r="BO67" t="s">
        <v>93</v>
      </c>
      <c r="BP67">
        <v>1</v>
      </c>
      <c r="BQ67">
        <v>30</v>
      </c>
      <c r="BR67">
        <v>0</v>
      </c>
      <c r="BS67">
        <v>21.43</v>
      </c>
      <c r="BT67">
        <v>1</v>
      </c>
      <c r="BU67">
        <v>1</v>
      </c>
      <c r="BV67">
        <v>1</v>
      </c>
      <c r="BW67">
        <v>1</v>
      </c>
      <c r="BX67">
        <v>1</v>
      </c>
      <c r="BY67" t="s">
        <v>6</v>
      </c>
      <c r="BZ67">
        <v>119</v>
      </c>
      <c r="CA67">
        <v>75</v>
      </c>
      <c r="CE67">
        <v>30</v>
      </c>
      <c r="CF67">
        <v>0</v>
      </c>
      <c r="CG67">
        <v>0</v>
      </c>
      <c r="CM67">
        <v>0</v>
      </c>
      <c r="CN67" t="s">
        <v>6</v>
      </c>
      <c r="CO67">
        <v>0</v>
      </c>
      <c r="CP67">
        <f t="shared" si="157"/>
        <v>3203.39</v>
      </c>
      <c r="CQ67">
        <f t="shared" si="158"/>
        <v>0</v>
      </c>
      <c r="CR67">
        <f t="shared" si="159"/>
        <v>3129.89</v>
      </c>
      <c r="CS67">
        <f t="shared" si="160"/>
        <v>434.17</v>
      </c>
      <c r="CT67">
        <f t="shared" si="161"/>
        <v>73.5</v>
      </c>
      <c r="CU67">
        <f t="shared" si="162"/>
        <v>0</v>
      </c>
      <c r="CV67">
        <f t="shared" si="163"/>
        <v>0.27222000000000002</v>
      </c>
      <c r="CW67">
        <f t="shared" si="164"/>
        <v>0</v>
      </c>
      <c r="CX67">
        <f t="shared" si="164"/>
        <v>0</v>
      </c>
      <c r="CY67">
        <f t="shared" si="165"/>
        <v>87.464999999999989</v>
      </c>
      <c r="CZ67">
        <f t="shared" si="166"/>
        <v>55.125</v>
      </c>
      <c r="DC67" t="s">
        <v>6</v>
      </c>
      <c r="DD67" t="s">
        <v>6</v>
      </c>
      <c r="DE67" t="s">
        <v>6</v>
      </c>
      <c r="DF67" t="s">
        <v>6</v>
      </c>
      <c r="DG67" t="s">
        <v>6</v>
      </c>
      <c r="DH67" t="s">
        <v>6</v>
      </c>
      <c r="DI67" t="s">
        <v>6</v>
      </c>
      <c r="DJ67" t="s">
        <v>6</v>
      </c>
      <c r="DK67" t="s">
        <v>6</v>
      </c>
      <c r="DL67" t="s">
        <v>6</v>
      </c>
      <c r="DM67" t="s">
        <v>6</v>
      </c>
      <c r="DN67">
        <v>149</v>
      </c>
      <c r="DO67">
        <v>158</v>
      </c>
      <c r="DP67">
        <v>1.0469999999999999</v>
      </c>
      <c r="DQ67">
        <v>1.079</v>
      </c>
      <c r="DU67">
        <v>1013</v>
      </c>
      <c r="DV67" t="s">
        <v>59</v>
      </c>
      <c r="DW67" t="s">
        <v>59</v>
      </c>
      <c r="DX67">
        <v>1</v>
      </c>
      <c r="EE67">
        <v>44065808</v>
      </c>
      <c r="EF67">
        <v>30</v>
      </c>
      <c r="EG67" t="s">
        <v>29</v>
      </c>
      <c r="EH67">
        <v>0</v>
      </c>
      <c r="EI67" t="s">
        <v>6</v>
      </c>
      <c r="EJ67">
        <v>1</v>
      </c>
      <c r="EK67">
        <v>1987</v>
      </c>
      <c r="EL67" t="s">
        <v>61</v>
      </c>
      <c r="EM67" t="s">
        <v>62</v>
      </c>
      <c r="EO67" t="s">
        <v>6</v>
      </c>
      <c r="EQ67">
        <v>0</v>
      </c>
      <c r="ER67">
        <v>509.96</v>
      </c>
      <c r="ES67">
        <v>0</v>
      </c>
      <c r="ET67">
        <v>506.68</v>
      </c>
      <c r="EU67">
        <v>19.350000000000001</v>
      </c>
      <c r="EV67">
        <v>3.28</v>
      </c>
      <c r="EW67">
        <v>0.26</v>
      </c>
      <c r="EX67">
        <v>0</v>
      </c>
      <c r="EY67">
        <v>0</v>
      </c>
      <c r="FQ67">
        <v>0</v>
      </c>
      <c r="FR67">
        <f t="shared" si="167"/>
        <v>0</v>
      </c>
      <c r="FS67">
        <v>0</v>
      </c>
      <c r="FX67">
        <v>149</v>
      </c>
      <c r="FY67">
        <v>158</v>
      </c>
      <c r="GA67" t="s">
        <v>6</v>
      </c>
      <c r="GD67">
        <v>0</v>
      </c>
      <c r="GF67">
        <v>903041355</v>
      </c>
      <c r="GG67">
        <v>2</v>
      </c>
      <c r="GH67">
        <v>1</v>
      </c>
      <c r="GI67">
        <v>2</v>
      </c>
      <c r="GJ67">
        <v>0</v>
      </c>
      <c r="GK67">
        <f>ROUND(R67*(R12)/100,2)</f>
        <v>681.65</v>
      </c>
      <c r="GL67">
        <f t="shared" si="168"/>
        <v>0</v>
      </c>
      <c r="GM67">
        <f t="shared" si="169"/>
        <v>4027.64</v>
      </c>
      <c r="GN67">
        <f t="shared" si="170"/>
        <v>4027.64</v>
      </c>
      <c r="GO67">
        <f t="shared" si="171"/>
        <v>0</v>
      </c>
      <c r="GP67">
        <f t="shared" si="172"/>
        <v>0</v>
      </c>
      <c r="GR67">
        <v>0</v>
      </c>
      <c r="GS67">
        <v>0</v>
      </c>
      <c r="GT67">
        <v>0</v>
      </c>
      <c r="GU67" t="s">
        <v>6</v>
      </c>
      <c r="GV67">
        <f t="shared" si="173"/>
        <v>0</v>
      </c>
      <c r="GW67">
        <v>1</v>
      </c>
      <c r="GX67">
        <f t="shared" si="174"/>
        <v>0</v>
      </c>
      <c r="HA67">
        <v>0</v>
      </c>
      <c r="HB67">
        <v>0</v>
      </c>
      <c r="HC67">
        <f t="shared" si="175"/>
        <v>0</v>
      </c>
      <c r="IK67">
        <v>0</v>
      </c>
    </row>
    <row r="69" spans="1:245" x14ac:dyDescent="0.2">
      <c r="A69" s="2">
        <v>51</v>
      </c>
      <c r="B69" s="2">
        <f>B28</f>
        <v>1</v>
      </c>
      <c r="C69" s="2">
        <f>A28</f>
        <v>5</v>
      </c>
      <c r="D69" s="2">
        <f>ROW(A28)</f>
        <v>28</v>
      </c>
      <c r="E69" s="2"/>
      <c r="F69" s="2" t="str">
        <f>IF(F28&lt;&gt;"",F28,"")</f>
        <v>Новый подраздел</v>
      </c>
      <c r="G69" s="2" t="str">
        <f>IF(G28&lt;&gt;"",G28,"")</f>
        <v>Строительные работы</v>
      </c>
      <c r="H69" s="2">
        <v>0</v>
      </c>
      <c r="I69" s="2"/>
      <c r="J69" s="2"/>
      <c r="K69" s="2"/>
      <c r="L69" s="2"/>
      <c r="M69" s="2"/>
      <c r="N69" s="2"/>
      <c r="O69" s="2">
        <f t="shared" ref="O69:T69" si="176">ROUND(AB69,2)</f>
        <v>10405153.619999999</v>
      </c>
      <c r="P69" s="2">
        <f t="shared" si="176"/>
        <v>6198266.6200000001</v>
      </c>
      <c r="Q69" s="2">
        <f t="shared" si="176"/>
        <v>3978362.2</v>
      </c>
      <c r="R69" s="2">
        <f t="shared" si="176"/>
        <v>754298.48</v>
      </c>
      <c r="S69" s="2">
        <f t="shared" si="176"/>
        <v>228524.79999999999</v>
      </c>
      <c r="T69" s="2">
        <f t="shared" si="176"/>
        <v>0</v>
      </c>
      <c r="U69" s="2">
        <f>AH69</f>
        <v>801.75379631999988</v>
      </c>
      <c r="V69" s="2">
        <f>AI69</f>
        <v>0</v>
      </c>
      <c r="W69" s="2">
        <f>ROUND(AJ69,2)</f>
        <v>0</v>
      </c>
      <c r="X69" s="2">
        <f>ROUND(AK69,2)</f>
        <v>263755.14</v>
      </c>
      <c r="Y69" s="2">
        <f>ROUND(AL69,2)</f>
        <v>163755.45000000001</v>
      </c>
      <c r="Z69" s="2"/>
      <c r="AA69" s="2"/>
      <c r="AB69" s="2">
        <f>ROUND(SUMIF(AA32:AA67,"=44175489",O32:O67),2)</f>
        <v>10405153.619999999</v>
      </c>
      <c r="AC69" s="2">
        <f>ROUND(SUMIF(AA32:AA67,"=44175489",P32:P67),2)</f>
        <v>6198266.6200000001</v>
      </c>
      <c r="AD69" s="2">
        <f>ROUND(SUMIF(AA32:AA67,"=44175489",Q32:Q67),2)</f>
        <v>3978362.2</v>
      </c>
      <c r="AE69" s="2">
        <f>ROUND(SUMIF(AA32:AA67,"=44175489",R32:R67),2)</f>
        <v>754298.48</v>
      </c>
      <c r="AF69" s="2">
        <f>ROUND(SUMIF(AA32:AA67,"=44175489",S32:S67),2)</f>
        <v>228524.79999999999</v>
      </c>
      <c r="AG69" s="2">
        <f>ROUND(SUMIF(AA32:AA67,"=44175489",T32:T67),2)</f>
        <v>0</v>
      </c>
      <c r="AH69" s="2">
        <f>SUMIF(AA32:AA67,"=44175489",U32:U67)</f>
        <v>801.75379631999988</v>
      </c>
      <c r="AI69" s="2">
        <f>SUMIF(AA32:AA67,"=44175489",V32:V67)</f>
        <v>0</v>
      </c>
      <c r="AJ69" s="2">
        <f>ROUND(SUMIF(AA32:AA67,"=44175489",W32:W67),2)</f>
        <v>0</v>
      </c>
      <c r="AK69" s="2">
        <f>ROUND(SUMIF(AA32:AA67,"=44175489",X32:X67),2)</f>
        <v>263755.14</v>
      </c>
      <c r="AL69" s="2">
        <f>ROUND(SUMIF(AA32:AA67,"=44175489",Y32:Y67),2)</f>
        <v>163755.45000000001</v>
      </c>
      <c r="AM69" s="2"/>
      <c r="AN69" s="2"/>
      <c r="AO69" s="2">
        <f t="shared" ref="AO69:BD69" si="177">ROUND(BX69,2)</f>
        <v>0</v>
      </c>
      <c r="AP69" s="2">
        <f t="shared" si="177"/>
        <v>0</v>
      </c>
      <c r="AQ69" s="2">
        <f t="shared" si="177"/>
        <v>0</v>
      </c>
      <c r="AR69" s="2">
        <f t="shared" si="177"/>
        <v>12016912.83</v>
      </c>
      <c r="AS69" s="2">
        <f t="shared" si="177"/>
        <v>12016912.83</v>
      </c>
      <c r="AT69" s="2">
        <f t="shared" si="177"/>
        <v>0</v>
      </c>
      <c r="AU69" s="2">
        <f t="shared" si="177"/>
        <v>0</v>
      </c>
      <c r="AV69" s="2">
        <f t="shared" si="177"/>
        <v>6198266.6200000001</v>
      </c>
      <c r="AW69" s="2">
        <f t="shared" si="177"/>
        <v>6198266.6200000001</v>
      </c>
      <c r="AX69" s="2">
        <f t="shared" si="177"/>
        <v>0</v>
      </c>
      <c r="AY69" s="2">
        <f t="shared" si="177"/>
        <v>6198266.6200000001</v>
      </c>
      <c r="AZ69" s="2">
        <f t="shared" si="177"/>
        <v>0</v>
      </c>
      <c r="BA69" s="2">
        <f t="shared" si="177"/>
        <v>0</v>
      </c>
      <c r="BB69" s="2">
        <f t="shared" si="177"/>
        <v>0</v>
      </c>
      <c r="BC69" s="2">
        <f t="shared" si="177"/>
        <v>0</v>
      </c>
      <c r="BD69" s="2">
        <f t="shared" si="177"/>
        <v>0</v>
      </c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>
        <f>ROUND(SUMIF(AA32:AA67,"=44175489",FQ32:FQ67),2)</f>
        <v>0</v>
      </c>
      <c r="BY69" s="2">
        <f>ROUND(SUMIF(AA32:AA67,"=44175489",FR32:FR67),2)</f>
        <v>0</v>
      </c>
      <c r="BZ69" s="2">
        <f>ROUND(SUMIF(AA32:AA67,"=44175489",GL32:GL67),2)</f>
        <v>0</v>
      </c>
      <c r="CA69" s="2">
        <f>ROUND(SUMIF(AA32:AA67,"=44175489",GM32:GM67),2)</f>
        <v>12016912.83</v>
      </c>
      <c r="CB69" s="2">
        <f>ROUND(SUMIF(AA32:AA67,"=44175489",GN32:GN67),2)</f>
        <v>12016912.83</v>
      </c>
      <c r="CC69" s="2">
        <f>ROUND(SUMIF(AA32:AA67,"=44175489",GO32:GO67),2)</f>
        <v>0</v>
      </c>
      <c r="CD69" s="2">
        <f>ROUND(SUMIF(AA32:AA67,"=44175489",GP32:GP67),2)</f>
        <v>0</v>
      </c>
      <c r="CE69" s="2">
        <f>AC69-BX69</f>
        <v>6198266.6200000001</v>
      </c>
      <c r="CF69" s="2">
        <f>AC69-BY69</f>
        <v>6198266.6200000001</v>
      </c>
      <c r="CG69" s="2">
        <f>BX69-BZ69</f>
        <v>0</v>
      </c>
      <c r="CH69" s="2">
        <f>AC69-BX69-BY69+BZ69</f>
        <v>6198266.6200000001</v>
      </c>
      <c r="CI69" s="2">
        <f>BY69-BZ69</f>
        <v>0</v>
      </c>
      <c r="CJ69" s="2">
        <f>ROUND(SUMIF(AA32:AA67,"=44175489",GX32:GX67),2)</f>
        <v>0</v>
      </c>
      <c r="CK69" s="2">
        <f>ROUND(SUMIF(AA32:AA67,"=44175489",GY32:GY67),2)</f>
        <v>0</v>
      </c>
      <c r="CL69" s="2">
        <f>ROUND(SUMIF(AA32:AA67,"=44175489",GZ32:GZ67),2)</f>
        <v>0</v>
      </c>
      <c r="CM69" s="2">
        <f>ROUND(SUMIF(AA32:AA67,"=44175489",HD32:HD67),2)</f>
        <v>0</v>
      </c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>
        <v>0</v>
      </c>
    </row>
    <row r="71" spans="1:245" x14ac:dyDescent="0.2">
      <c r="A71" s="4">
        <v>50</v>
      </c>
      <c r="B71" s="4">
        <v>0</v>
      </c>
      <c r="C71" s="4">
        <v>0</v>
      </c>
      <c r="D71" s="4">
        <v>1</v>
      </c>
      <c r="E71" s="4">
        <v>201</v>
      </c>
      <c r="F71" s="4">
        <f>ROUND(Source!O69,O71)</f>
        <v>10405153.619999999</v>
      </c>
      <c r="G71" s="4" t="s">
        <v>120</v>
      </c>
      <c r="H71" s="4" t="s">
        <v>121</v>
      </c>
      <c r="I71" s="4"/>
      <c r="J71" s="4"/>
      <c r="K71" s="4">
        <v>201</v>
      </c>
      <c r="L71" s="4">
        <v>1</v>
      </c>
      <c r="M71" s="4">
        <v>3</v>
      </c>
      <c r="N71" s="4" t="s">
        <v>6</v>
      </c>
      <c r="O71" s="4">
        <v>2</v>
      </c>
      <c r="P71" s="4"/>
      <c r="Q71" s="4"/>
      <c r="R71" s="4"/>
      <c r="S71" s="4"/>
      <c r="T71" s="4"/>
      <c r="U71" s="4"/>
      <c r="V71" s="4"/>
      <c r="W71" s="4"/>
    </row>
    <row r="72" spans="1:245" x14ac:dyDescent="0.2">
      <c r="A72" s="4">
        <v>50</v>
      </c>
      <c r="B72" s="4">
        <v>0</v>
      </c>
      <c r="C72" s="4">
        <v>0</v>
      </c>
      <c r="D72" s="4">
        <v>1</v>
      </c>
      <c r="E72" s="4">
        <v>202</v>
      </c>
      <c r="F72" s="4">
        <f>ROUND(Source!P69,O72)</f>
        <v>6198266.6200000001</v>
      </c>
      <c r="G72" s="4" t="s">
        <v>122</v>
      </c>
      <c r="H72" s="4" t="s">
        <v>123</v>
      </c>
      <c r="I72" s="4"/>
      <c r="J72" s="4"/>
      <c r="K72" s="4">
        <v>202</v>
      </c>
      <c r="L72" s="4">
        <v>2</v>
      </c>
      <c r="M72" s="4">
        <v>3</v>
      </c>
      <c r="N72" s="4" t="s">
        <v>6</v>
      </c>
      <c r="O72" s="4">
        <v>2</v>
      </c>
      <c r="P72" s="4"/>
      <c r="Q72" s="4"/>
      <c r="R72" s="4"/>
      <c r="S72" s="4"/>
      <c r="T72" s="4"/>
      <c r="U72" s="4"/>
      <c r="V72" s="4"/>
      <c r="W72" s="4"/>
    </row>
    <row r="73" spans="1:245" x14ac:dyDescent="0.2">
      <c r="A73" s="4">
        <v>50</v>
      </c>
      <c r="B73" s="4">
        <v>0</v>
      </c>
      <c r="C73" s="4">
        <v>0</v>
      </c>
      <c r="D73" s="4">
        <v>1</v>
      </c>
      <c r="E73" s="4">
        <v>222</v>
      </c>
      <c r="F73" s="4">
        <f>ROUND(Source!AO69,O73)</f>
        <v>0</v>
      </c>
      <c r="G73" s="4" t="s">
        <v>124</v>
      </c>
      <c r="H73" s="4" t="s">
        <v>125</v>
      </c>
      <c r="I73" s="4"/>
      <c r="J73" s="4"/>
      <c r="K73" s="4">
        <v>222</v>
      </c>
      <c r="L73" s="4">
        <v>3</v>
      </c>
      <c r="M73" s="4">
        <v>3</v>
      </c>
      <c r="N73" s="4" t="s">
        <v>6</v>
      </c>
      <c r="O73" s="4">
        <v>2</v>
      </c>
      <c r="P73" s="4"/>
      <c r="Q73" s="4"/>
      <c r="R73" s="4"/>
      <c r="S73" s="4"/>
      <c r="T73" s="4"/>
      <c r="U73" s="4"/>
      <c r="V73" s="4"/>
      <c r="W73" s="4"/>
    </row>
    <row r="74" spans="1:245" x14ac:dyDescent="0.2">
      <c r="A74" s="4">
        <v>50</v>
      </c>
      <c r="B74" s="4">
        <v>0</v>
      </c>
      <c r="C74" s="4">
        <v>0</v>
      </c>
      <c r="D74" s="4">
        <v>1</v>
      </c>
      <c r="E74" s="4">
        <v>225</v>
      </c>
      <c r="F74" s="4">
        <f>ROUND(Source!AV69,O74)</f>
        <v>6198266.6200000001</v>
      </c>
      <c r="G74" s="4" t="s">
        <v>126</v>
      </c>
      <c r="H74" s="4" t="s">
        <v>127</v>
      </c>
      <c r="I74" s="4"/>
      <c r="J74" s="4"/>
      <c r="K74" s="4">
        <v>225</v>
      </c>
      <c r="L74" s="4">
        <v>4</v>
      </c>
      <c r="M74" s="4">
        <v>3</v>
      </c>
      <c r="N74" s="4" t="s">
        <v>6</v>
      </c>
      <c r="O74" s="4">
        <v>2</v>
      </c>
      <c r="P74" s="4"/>
      <c r="Q74" s="4"/>
      <c r="R74" s="4"/>
      <c r="S74" s="4"/>
      <c r="T74" s="4"/>
      <c r="U74" s="4"/>
      <c r="V74" s="4"/>
      <c r="W74" s="4"/>
    </row>
    <row r="75" spans="1:245" x14ac:dyDescent="0.2">
      <c r="A75" s="4">
        <v>50</v>
      </c>
      <c r="B75" s="4">
        <v>0</v>
      </c>
      <c r="C75" s="4">
        <v>0</v>
      </c>
      <c r="D75" s="4">
        <v>1</v>
      </c>
      <c r="E75" s="4">
        <v>226</v>
      </c>
      <c r="F75" s="4">
        <f>ROUND(Source!AW69,O75)</f>
        <v>6198266.6200000001</v>
      </c>
      <c r="G75" s="4" t="s">
        <v>128</v>
      </c>
      <c r="H75" s="4" t="s">
        <v>129</v>
      </c>
      <c r="I75" s="4"/>
      <c r="J75" s="4"/>
      <c r="K75" s="4">
        <v>226</v>
      </c>
      <c r="L75" s="4">
        <v>5</v>
      </c>
      <c r="M75" s="4">
        <v>3</v>
      </c>
      <c r="N75" s="4" t="s">
        <v>6</v>
      </c>
      <c r="O75" s="4">
        <v>2</v>
      </c>
      <c r="P75" s="4"/>
      <c r="Q75" s="4"/>
      <c r="R75" s="4"/>
      <c r="S75" s="4"/>
      <c r="T75" s="4"/>
      <c r="U75" s="4"/>
      <c r="V75" s="4"/>
      <c r="W75" s="4"/>
    </row>
    <row r="76" spans="1:245" x14ac:dyDescent="0.2">
      <c r="A76" s="4">
        <v>50</v>
      </c>
      <c r="B76" s="4">
        <v>0</v>
      </c>
      <c r="C76" s="4">
        <v>0</v>
      </c>
      <c r="D76" s="4">
        <v>1</v>
      </c>
      <c r="E76" s="4">
        <v>227</v>
      </c>
      <c r="F76" s="4">
        <f>ROUND(Source!AX69,O76)</f>
        <v>0</v>
      </c>
      <c r="G76" s="4" t="s">
        <v>130</v>
      </c>
      <c r="H76" s="4" t="s">
        <v>131</v>
      </c>
      <c r="I76" s="4"/>
      <c r="J76" s="4"/>
      <c r="K76" s="4">
        <v>227</v>
      </c>
      <c r="L76" s="4">
        <v>6</v>
      </c>
      <c r="M76" s="4">
        <v>3</v>
      </c>
      <c r="N76" s="4" t="s">
        <v>6</v>
      </c>
      <c r="O76" s="4">
        <v>2</v>
      </c>
      <c r="P76" s="4"/>
      <c r="Q76" s="4"/>
      <c r="R76" s="4"/>
      <c r="S76" s="4"/>
      <c r="T76" s="4"/>
      <c r="U76" s="4"/>
      <c r="V76" s="4"/>
      <c r="W76" s="4"/>
    </row>
    <row r="77" spans="1:245" x14ac:dyDescent="0.2">
      <c r="A77" s="4">
        <v>50</v>
      </c>
      <c r="B77" s="4">
        <v>0</v>
      </c>
      <c r="C77" s="4">
        <v>0</v>
      </c>
      <c r="D77" s="4">
        <v>1</v>
      </c>
      <c r="E77" s="4">
        <v>228</v>
      </c>
      <c r="F77" s="4">
        <f>ROUND(Source!AY69,O77)</f>
        <v>6198266.6200000001</v>
      </c>
      <c r="G77" s="4" t="s">
        <v>132</v>
      </c>
      <c r="H77" s="4" t="s">
        <v>133</v>
      </c>
      <c r="I77" s="4"/>
      <c r="J77" s="4"/>
      <c r="K77" s="4">
        <v>228</v>
      </c>
      <c r="L77" s="4">
        <v>7</v>
      </c>
      <c r="M77" s="4">
        <v>3</v>
      </c>
      <c r="N77" s="4" t="s">
        <v>6</v>
      </c>
      <c r="O77" s="4">
        <v>2</v>
      </c>
      <c r="P77" s="4"/>
      <c r="Q77" s="4"/>
      <c r="R77" s="4"/>
      <c r="S77" s="4"/>
      <c r="T77" s="4"/>
      <c r="U77" s="4"/>
      <c r="V77" s="4"/>
      <c r="W77" s="4"/>
    </row>
    <row r="78" spans="1:245" x14ac:dyDescent="0.2">
      <c r="A78" s="4">
        <v>50</v>
      </c>
      <c r="B78" s="4">
        <v>0</v>
      </c>
      <c r="C78" s="4">
        <v>0</v>
      </c>
      <c r="D78" s="4">
        <v>1</v>
      </c>
      <c r="E78" s="4">
        <v>216</v>
      </c>
      <c r="F78" s="4">
        <f>ROUND(Source!AP69,O78)</f>
        <v>0</v>
      </c>
      <c r="G78" s="4" t="s">
        <v>134</v>
      </c>
      <c r="H78" s="4" t="s">
        <v>135</v>
      </c>
      <c r="I78" s="4"/>
      <c r="J78" s="4"/>
      <c r="K78" s="4">
        <v>216</v>
      </c>
      <c r="L78" s="4">
        <v>8</v>
      </c>
      <c r="M78" s="4">
        <v>3</v>
      </c>
      <c r="N78" s="4" t="s">
        <v>6</v>
      </c>
      <c r="O78" s="4">
        <v>2</v>
      </c>
      <c r="P78" s="4"/>
      <c r="Q78" s="4"/>
      <c r="R78" s="4"/>
      <c r="S78" s="4"/>
      <c r="T78" s="4"/>
      <c r="U78" s="4"/>
      <c r="V78" s="4"/>
      <c r="W78" s="4"/>
    </row>
    <row r="79" spans="1:245" x14ac:dyDescent="0.2">
      <c r="A79" s="4">
        <v>50</v>
      </c>
      <c r="B79" s="4">
        <v>0</v>
      </c>
      <c r="C79" s="4">
        <v>0</v>
      </c>
      <c r="D79" s="4">
        <v>1</v>
      </c>
      <c r="E79" s="4">
        <v>223</v>
      </c>
      <c r="F79" s="4">
        <f>ROUND(Source!AQ69,O79)</f>
        <v>0</v>
      </c>
      <c r="G79" s="4" t="s">
        <v>136</v>
      </c>
      <c r="H79" s="4" t="s">
        <v>137</v>
      </c>
      <c r="I79" s="4"/>
      <c r="J79" s="4"/>
      <c r="K79" s="4">
        <v>223</v>
      </c>
      <c r="L79" s="4">
        <v>9</v>
      </c>
      <c r="M79" s="4">
        <v>3</v>
      </c>
      <c r="N79" s="4" t="s">
        <v>6</v>
      </c>
      <c r="O79" s="4">
        <v>2</v>
      </c>
      <c r="P79" s="4"/>
      <c r="Q79" s="4"/>
      <c r="R79" s="4"/>
      <c r="S79" s="4"/>
      <c r="T79" s="4"/>
      <c r="U79" s="4"/>
      <c r="V79" s="4"/>
      <c r="W79" s="4"/>
    </row>
    <row r="80" spans="1:245" x14ac:dyDescent="0.2">
      <c r="A80" s="4">
        <v>50</v>
      </c>
      <c r="B80" s="4">
        <v>0</v>
      </c>
      <c r="C80" s="4">
        <v>0</v>
      </c>
      <c r="D80" s="4">
        <v>1</v>
      </c>
      <c r="E80" s="4">
        <v>229</v>
      </c>
      <c r="F80" s="4">
        <f>ROUND(Source!AZ69,O80)</f>
        <v>0</v>
      </c>
      <c r="G80" s="4" t="s">
        <v>138</v>
      </c>
      <c r="H80" s="4" t="s">
        <v>139</v>
      </c>
      <c r="I80" s="4"/>
      <c r="J80" s="4"/>
      <c r="K80" s="4">
        <v>229</v>
      </c>
      <c r="L80" s="4">
        <v>10</v>
      </c>
      <c r="M80" s="4">
        <v>3</v>
      </c>
      <c r="N80" s="4" t="s">
        <v>6</v>
      </c>
      <c r="O80" s="4">
        <v>2</v>
      </c>
      <c r="P80" s="4"/>
      <c r="Q80" s="4"/>
      <c r="R80" s="4"/>
      <c r="S80" s="4"/>
      <c r="T80" s="4"/>
      <c r="U80" s="4"/>
      <c r="V80" s="4"/>
      <c r="W80" s="4"/>
    </row>
    <row r="81" spans="1:23" x14ac:dyDescent="0.2">
      <c r="A81" s="4">
        <v>50</v>
      </c>
      <c r="B81" s="4">
        <v>0</v>
      </c>
      <c r="C81" s="4">
        <v>0</v>
      </c>
      <c r="D81" s="4">
        <v>1</v>
      </c>
      <c r="E81" s="4">
        <v>203</v>
      </c>
      <c r="F81" s="4">
        <f>ROUND(Source!Q69,O81)</f>
        <v>3978362.2</v>
      </c>
      <c r="G81" s="4" t="s">
        <v>140</v>
      </c>
      <c r="H81" s="4" t="s">
        <v>141</v>
      </c>
      <c r="I81" s="4"/>
      <c r="J81" s="4"/>
      <c r="K81" s="4">
        <v>203</v>
      </c>
      <c r="L81" s="4">
        <v>11</v>
      </c>
      <c r="M81" s="4">
        <v>3</v>
      </c>
      <c r="N81" s="4" t="s">
        <v>6</v>
      </c>
      <c r="O81" s="4">
        <v>2</v>
      </c>
      <c r="P81" s="4"/>
      <c r="Q81" s="4"/>
      <c r="R81" s="4"/>
      <c r="S81" s="4"/>
      <c r="T81" s="4"/>
      <c r="U81" s="4"/>
      <c r="V81" s="4"/>
      <c r="W81" s="4"/>
    </row>
    <row r="82" spans="1:23" x14ac:dyDescent="0.2">
      <c r="A82" s="4">
        <v>50</v>
      </c>
      <c r="B82" s="4">
        <v>0</v>
      </c>
      <c r="C82" s="4">
        <v>0</v>
      </c>
      <c r="D82" s="4">
        <v>1</v>
      </c>
      <c r="E82" s="4">
        <v>231</v>
      </c>
      <c r="F82" s="4">
        <f>ROUND(Source!BB69,O82)</f>
        <v>0</v>
      </c>
      <c r="G82" s="4" t="s">
        <v>142</v>
      </c>
      <c r="H82" s="4" t="s">
        <v>143</v>
      </c>
      <c r="I82" s="4"/>
      <c r="J82" s="4"/>
      <c r="K82" s="4">
        <v>231</v>
      </c>
      <c r="L82" s="4">
        <v>12</v>
      </c>
      <c r="M82" s="4">
        <v>3</v>
      </c>
      <c r="N82" s="4" t="s">
        <v>6</v>
      </c>
      <c r="O82" s="4">
        <v>2</v>
      </c>
      <c r="P82" s="4"/>
      <c r="Q82" s="4"/>
      <c r="R82" s="4"/>
      <c r="S82" s="4"/>
      <c r="T82" s="4"/>
      <c r="U82" s="4"/>
      <c r="V82" s="4"/>
      <c r="W82" s="4"/>
    </row>
    <row r="83" spans="1:23" x14ac:dyDescent="0.2">
      <c r="A83" s="4">
        <v>50</v>
      </c>
      <c r="B83" s="4">
        <v>0</v>
      </c>
      <c r="C83" s="4">
        <v>0</v>
      </c>
      <c r="D83" s="4">
        <v>1</v>
      </c>
      <c r="E83" s="4">
        <v>204</v>
      </c>
      <c r="F83" s="4">
        <f>ROUND(Source!R69,O83)</f>
        <v>754298.48</v>
      </c>
      <c r="G83" s="4" t="s">
        <v>144</v>
      </c>
      <c r="H83" s="4" t="s">
        <v>145</v>
      </c>
      <c r="I83" s="4"/>
      <c r="J83" s="4"/>
      <c r="K83" s="4">
        <v>204</v>
      </c>
      <c r="L83" s="4">
        <v>13</v>
      </c>
      <c r="M83" s="4">
        <v>3</v>
      </c>
      <c r="N83" s="4" t="s">
        <v>6</v>
      </c>
      <c r="O83" s="4">
        <v>2</v>
      </c>
      <c r="P83" s="4"/>
      <c r="Q83" s="4"/>
      <c r="R83" s="4"/>
      <c r="S83" s="4"/>
      <c r="T83" s="4"/>
      <c r="U83" s="4"/>
      <c r="V83" s="4"/>
      <c r="W83" s="4"/>
    </row>
    <row r="84" spans="1:23" x14ac:dyDescent="0.2">
      <c r="A84" s="4">
        <v>50</v>
      </c>
      <c r="B84" s="4">
        <v>0</v>
      </c>
      <c r="C84" s="4">
        <v>0</v>
      </c>
      <c r="D84" s="4">
        <v>1</v>
      </c>
      <c r="E84" s="4">
        <v>205</v>
      </c>
      <c r="F84" s="4">
        <f>ROUND(Source!S69,O84)</f>
        <v>228524.79999999999</v>
      </c>
      <c r="G84" s="4" t="s">
        <v>146</v>
      </c>
      <c r="H84" s="4" t="s">
        <v>147</v>
      </c>
      <c r="I84" s="4"/>
      <c r="J84" s="4"/>
      <c r="K84" s="4">
        <v>205</v>
      </c>
      <c r="L84" s="4">
        <v>14</v>
      </c>
      <c r="M84" s="4">
        <v>3</v>
      </c>
      <c r="N84" s="4" t="s">
        <v>6</v>
      </c>
      <c r="O84" s="4">
        <v>2</v>
      </c>
      <c r="P84" s="4"/>
      <c r="Q84" s="4"/>
      <c r="R84" s="4"/>
      <c r="S84" s="4"/>
      <c r="T84" s="4"/>
      <c r="U84" s="4"/>
      <c r="V84" s="4"/>
      <c r="W84" s="4"/>
    </row>
    <row r="85" spans="1:23" x14ac:dyDescent="0.2">
      <c r="A85" s="4">
        <v>50</v>
      </c>
      <c r="B85" s="4">
        <v>0</v>
      </c>
      <c r="C85" s="4">
        <v>0</v>
      </c>
      <c r="D85" s="4">
        <v>1</v>
      </c>
      <c r="E85" s="4">
        <v>232</v>
      </c>
      <c r="F85" s="4">
        <f>ROUND(Source!BC69,O85)</f>
        <v>0</v>
      </c>
      <c r="G85" s="4" t="s">
        <v>148</v>
      </c>
      <c r="H85" s="4" t="s">
        <v>149</v>
      </c>
      <c r="I85" s="4"/>
      <c r="J85" s="4"/>
      <c r="K85" s="4">
        <v>232</v>
      </c>
      <c r="L85" s="4">
        <v>15</v>
      </c>
      <c r="M85" s="4">
        <v>3</v>
      </c>
      <c r="N85" s="4" t="s">
        <v>6</v>
      </c>
      <c r="O85" s="4">
        <v>2</v>
      </c>
      <c r="P85" s="4"/>
      <c r="Q85" s="4"/>
      <c r="R85" s="4"/>
      <c r="S85" s="4"/>
      <c r="T85" s="4"/>
      <c r="U85" s="4"/>
      <c r="V85" s="4"/>
      <c r="W85" s="4"/>
    </row>
    <row r="86" spans="1:23" x14ac:dyDescent="0.2">
      <c r="A86" s="4">
        <v>50</v>
      </c>
      <c r="B86" s="4">
        <v>0</v>
      </c>
      <c r="C86" s="4">
        <v>0</v>
      </c>
      <c r="D86" s="4">
        <v>1</v>
      </c>
      <c r="E86" s="4">
        <v>214</v>
      </c>
      <c r="F86" s="4">
        <f>ROUND(Source!AS69,O86)</f>
        <v>12016912.83</v>
      </c>
      <c r="G86" s="4" t="s">
        <v>150</v>
      </c>
      <c r="H86" s="4" t="s">
        <v>151</v>
      </c>
      <c r="I86" s="4"/>
      <c r="J86" s="4"/>
      <c r="K86" s="4">
        <v>214</v>
      </c>
      <c r="L86" s="4">
        <v>16</v>
      </c>
      <c r="M86" s="4">
        <v>3</v>
      </c>
      <c r="N86" s="4" t="s">
        <v>6</v>
      </c>
      <c r="O86" s="4">
        <v>2</v>
      </c>
      <c r="P86" s="4"/>
      <c r="Q86" s="4"/>
      <c r="R86" s="4"/>
      <c r="S86" s="4"/>
      <c r="T86" s="4"/>
      <c r="U86" s="4"/>
      <c r="V86" s="4"/>
      <c r="W86" s="4"/>
    </row>
    <row r="87" spans="1:23" x14ac:dyDescent="0.2">
      <c r="A87" s="4">
        <v>50</v>
      </c>
      <c r="B87" s="4">
        <v>0</v>
      </c>
      <c r="C87" s="4">
        <v>0</v>
      </c>
      <c r="D87" s="4">
        <v>1</v>
      </c>
      <c r="E87" s="4">
        <v>215</v>
      </c>
      <c r="F87" s="4">
        <f>ROUND(Source!AT69,O87)</f>
        <v>0</v>
      </c>
      <c r="G87" s="4" t="s">
        <v>152</v>
      </c>
      <c r="H87" s="4" t="s">
        <v>153</v>
      </c>
      <c r="I87" s="4"/>
      <c r="J87" s="4"/>
      <c r="K87" s="4">
        <v>215</v>
      </c>
      <c r="L87" s="4">
        <v>17</v>
      </c>
      <c r="M87" s="4">
        <v>3</v>
      </c>
      <c r="N87" s="4" t="s">
        <v>6</v>
      </c>
      <c r="O87" s="4">
        <v>2</v>
      </c>
      <c r="P87" s="4"/>
      <c r="Q87" s="4"/>
      <c r="R87" s="4"/>
      <c r="S87" s="4"/>
      <c r="T87" s="4"/>
      <c r="U87" s="4"/>
      <c r="V87" s="4"/>
      <c r="W87" s="4"/>
    </row>
    <row r="88" spans="1:23" x14ac:dyDescent="0.2">
      <c r="A88" s="4">
        <v>50</v>
      </c>
      <c r="B88" s="4">
        <v>0</v>
      </c>
      <c r="C88" s="4">
        <v>0</v>
      </c>
      <c r="D88" s="4">
        <v>1</v>
      </c>
      <c r="E88" s="4">
        <v>217</v>
      </c>
      <c r="F88" s="4">
        <f>ROUND(Source!AU69,O88)</f>
        <v>0</v>
      </c>
      <c r="G88" s="4" t="s">
        <v>154</v>
      </c>
      <c r="H88" s="4" t="s">
        <v>155</v>
      </c>
      <c r="I88" s="4"/>
      <c r="J88" s="4"/>
      <c r="K88" s="4">
        <v>217</v>
      </c>
      <c r="L88" s="4">
        <v>18</v>
      </c>
      <c r="M88" s="4">
        <v>3</v>
      </c>
      <c r="N88" s="4" t="s">
        <v>6</v>
      </c>
      <c r="O88" s="4">
        <v>2</v>
      </c>
      <c r="P88" s="4"/>
      <c r="Q88" s="4"/>
      <c r="R88" s="4"/>
      <c r="S88" s="4"/>
      <c r="T88" s="4"/>
      <c r="U88" s="4"/>
      <c r="V88" s="4"/>
      <c r="W88" s="4"/>
    </row>
    <row r="89" spans="1:23" x14ac:dyDescent="0.2">
      <c r="A89" s="4">
        <v>50</v>
      </c>
      <c r="B89" s="4">
        <v>0</v>
      </c>
      <c r="C89" s="4">
        <v>0</v>
      </c>
      <c r="D89" s="4">
        <v>1</v>
      </c>
      <c r="E89" s="4">
        <v>230</v>
      </c>
      <c r="F89" s="4">
        <f>ROUND(Source!BA69,O89)</f>
        <v>0</v>
      </c>
      <c r="G89" s="4" t="s">
        <v>156</v>
      </c>
      <c r="H89" s="4" t="s">
        <v>157</v>
      </c>
      <c r="I89" s="4"/>
      <c r="J89" s="4"/>
      <c r="K89" s="4">
        <v>230</v>
      </c>
      <c r="L89" s="4">
        <v>19</v>
      </c>
      <c r="M89" s="4">
        <v>3</v>
      </c>
      <c r="N89" s="4" t="s">
        <v>6</v>
      </c>
      <c r="O89" s="4">
        <v>2</v>
      </c>
      <c r="P89" s="4"/>
      <c r="Q89" s="4"/>
      <c r="R89" s="4"/>
      <c r="S89" s="4"/>
      <c r="T89" s="4"/>
      <c r="U89" s="4"/>
      <c r="V89" s="4"/>
      <c r="W89" s="4"/>
    </row>
    <row r="90" spans="1:23" x14ac:dyDescent="0.2">
      <c r="A90" s="4">
        <v>50</v>
      </c>
      <c r="B90" s="4">
        <v>0</v>
      </c>
      <c r="C90" s="4">
        <v>0</v>
      </c>
      <c r="D90" s="4">
        <v>1</v>
      </c>
      <c r="E90" s="4">
        <v>206</v>
      </c>
      <c r="F90" s="4">
        <f>ROUND(Source!T69,O90)</f>
        <v>0</v>
      </c>
      <c r="G90" s="4" t="s">
        <v>158</v>
      </c>
      <c r="H90" s="4" t="s">
        <v>159</v>
      </c>
      <c r="I90" s="4"/>
      <c r="J90" s="4"/>
      <c r="K90" s="4">
        <v>206</v>
      </c>
      <c r="L90" s="4">
        <v>20</v>
      </c>
      <c r="M90" s="4">
        <v>3</v>
      </c>
      <c r="N90" s="4" t="s">
        <v>6</v>
      </c>
      <c r="O90" s="4">
        <v>2</v>
      </c>
      <c r="P90" s="4"/>
      <c r="Q90" s="4"/>
      <c r="R90" s="4"/>
      <c r="S90" s="4"/>
      <c r="T90" s="4"/>
      <c r="U90" s="4"/>
      <c r="V90" s="4"/>
      <c r="W90" s="4"/>
    </row>
    <row r="91" spans="1:23" x14ac:dyDescent="0.2">
      <c r="A91" s="4">
        <v>50</v>
      </c>
      <c r="B91" s="4">
        <v>0</v>
      </c>
      <c r="C91" s="4">
        <v>0</v>
      </c>
      <c r="D91" s="4">
        <v>1</v>
      </c>
      <c r="E91" s="4">
        <v>207</v>
      </c>
      <c r="F91" s="4">
        <f>Source!U69</f>
        <v>801.75379631999988</v>
      </c>
      <c r="G91" s="4" t="s">
        <v>160</v>
      </c>
      <c r="H91" s="4" t="s">
        <v>161</v>
      </c>
      <c r="I91" s="4"/>
      <c r="J91" s="4"/>
      <c r="K91" s="4">
        <v>207</v>
      </c>
      <c r="L91" s="4">
        <v>21</v>
      </c>
      <c r="M91" s="4">
        <v>3</v>
      </c>
      <c r="N91" s="4" t="s">
        <v>6</v>
      </c>
      <c r="O91" s="4">
        <v>-1</v>
      </c>
      <c r="P91" s="4"/>
      <c r="Q91" s="4"/>
      <c r="R91" s="4"/>
      <c r="S91" s="4"/>
      <c r="T91" s="4"/>
      <c r="U91" s="4"/>
      <c r="V91" s="4"/>
      <c r="W91" s="4"/>
    </row>
    <row r="92" spans="1:23" x14ac:dyDescent="0.2">
      <c r="A92" s="4">
        <v>50</v>
      </c>
      <c r="B92" s="4">
        <v>0</v>
      </c>
      <c r="C92" s="4">
        <v>0</v>
      </c>
      <c r="D92" s="4">
        <v>1</v>
      </c>
      <c r="E92" s="4">
        <v>208</v>
      </c>
      <c r="F92" s="4">
        <f>Source!V69</f>
        <v>0</v>
      </c>
      <c r="G92" s="4" t="s">
        <v>162</v>
      </c>
      <c r="H92" s="4" t="s">
        <v>163</v>
      </c>
      <c r="I92" s="4"/>
      <c r="J92" s="4"/>
      <c r="K92" s="4">
        <v>208</v>
      </c>
      <c r="L92" s="4">
        <v>22</v>
      </c>
      <c r="M92" s="4">
        <v>3</v>
      </c>
      <c r="N92" s="4" t="s">
        <v>6</v>
      </c>
      <c r="O92" s="4">
        <v>-1</v>
      </c>
      <c r="P92" s="4"/>
      <c r="Q92" s="4"/>
      <c r="R92" s="4"/>
      <c r="S92" s="4"/>
      <c r="T92" s="4"/>
      <c r="U92" s="4"/>
      <c r="V92" s="4"/>
      <c r="W92" s="4"/>
    </row>
    <row r="93" spans="1:23" x14ac:dyDescent="0.2">
      <c r="A93" s="4">
        <v>50</v>
      </c>
      <c r="B93" s="4">
        <v>0</v>
      </c>
      <c r="C93" s="4">
        <v>0</v>
      </c>
      <c r="D93" s="4">
        <v>1</v>
      </c>
      <c r="E93" s="4">
        <v>209</v>
      </c>
      <c r="F93" s="4">
        <f>ROUND(Source!W69,O93)</f>
        <v>0</v>
      </c>
      <c r="G93" s="4" t="s">
        <v>164</v>
      </c>
      <c r="H93" s="4" t="s">
        <v>165</v>
      </c>
      <c r="I93" s="4"/>
      <c r="J93" s="4"/>
      <c r="K93" s="4">
        <v>209</v>
      </c>
      <c r="L93" s="4">
        <v>23</v>
      </c>
      <c r="M93" s="4">
        <v>3</v>
      </c>
      <c r="N93" s="4" t="s">
        <v>6</v>
      </c>
      <c r="O93" s="4">
        <v>2</v>
      </c>
      <c r="P93" s="4"/>
      <c r="Q93" s="4"/>
      <c r="R93" s="4"/>
      <c r="S93" s="4"/>
      <c r="T93" s="4"/>
      <c r="U93" s="4"/>
      <c r="V93" s="4"/>
      <c r="W93" s="4"/>
    </row>
    <row r="94" spans="1:23" x14ac:dyDescent="0.2">
      <c r="A94" s="4">
        <v>50</v>
      </c>
      <c r="B94" s="4">
        <v>0</v>
      </c>
      <c r="C94" s="4">
        <v>0</v>
      </c>
      <c r="D94" s="4">
        <v>1</v>
      </c>
      <c r="E94" s="4">
        <v>233</v>
      </c>
      <c r="F94" s="4">
        <f>ROUND(Source!BD69,O94)</f>
        <v>0</v>
      </c>
      <c r="G94" s="4" t="s">
        <v>166</v>
      </c>
      <c r="H94" s="4" t="s">
        <v>167</v>
      </c>
      <c r="I94" s="4"/>
      <c r="J94" s="4"/>
      <c r="K94" s="4">
        <v>233</v>
      </c>
      <c r="L94" s="4">
        <v>24</v>
      </c>
      <c r="M94" s="4">
        <v>3</v>
      </c>
      <c r="N94" s="4" t="s">
        <v>6</v>
      </c>
      <c r="O94" s="4">
        <v>2</v>
      </c>
      <c r="P94" s="4"/>
      <c r="Q94" s="4"/>
      <c r="R94" s="4"/>
      <c r="S94" s="4"/>
      <c r="T94" s="4"/>
      <c r="U94" s="4"/>
      <c r="V94" s="4"/>
      <c r="W94" s="4"/>
    </row>
    <row r="95" spans="1:23" x14ac:dyDescent="0.2">
      <c r="A95" s="4">
        <v>50</v>
      </c>
      <c r="B95" s="4">
        <v>0</v>
      </c>
      <c r="C95" s="4">
        <v>0</v>
      </c>
      <c r="D95" s="4">
        <v>1</v>
      </c>
      <c r="E95" s="4">
        <v>210</v>
      </c>
      <c r="F95" s="4">
        <f>ROUND(Source!X69,O95)</f>
        <v>263755.14</v>
      </c>
      <c r="G95" s="4" t="s">
        <v>168</v>
      </c>
      <c r="H95" s="4" t="s">
        <v>169</v>
      </c>
      <c r="I95" s="4"/>
      <c r="J95" s="4"/>
      <c r="K95" s="4">
        <v>210</v>
      </c>
      <c r="L95" s="4">
        <v>25</v>
      </c>
      <c r="M95" s="4">
        <v>3</v>
      </c>
      <c r="N95" s="4" t="s">
        <v>6</v>
      </c>
      <c r="O95" s="4">
        <v>2</v>
      </c>
      <c r="P95" s="4"/>
      <c r="Q95" s="4"/>
      <c r="R95" s="4"/>
      <c r="S95" s="4"/>
      <c r="T95" s="4"/>
      <c r="U95" s="4"/>
      <c r="V95" s="4"/>
      <c r="W95" s="4"/>
    </row>
    <row r="96" spans="1:23" x14ac:dyDescent="0.2">
      <c r="A96" s="4">
        <v>50</v>
      </c>
      <c r="B96" s="4">
        <v>0</v>
      </c>
      <c r="C96" s="4">
        <v>0</v>
      </c>
      <c r="D96" s="4">
        <v>1</v>
      </c>
      <c r="E96" s="4">
        <v>211</v>
      </c>
      <c r="F96" s="4">
        <f>ROUND(Source!Y69,O96)</f>
        <v>163755.45000000001</v>
      </c>
      <c r="G96" s="4" t="s">
        <v>170</v>
      </c>
      <c r="H96" s="4" t="s">
        <v>171</v>
      </c>
      <c r="I96" s="4"/>
      <c r="J96" s="4"/>
      <c r="K96" s="4">
        <v>211</v>
      </c>
      <c r="L96" s="4">
        <v>26</v>
      </c>
      <c r="M96" s="4">
        <v>3</v>
      </c>
      <c r="N96" s="4" t="s">
        <v>6</v>
      </c>
      <c r="O96" s="4">
        <v>2</v>
      </c>
      <c r="P96" s="4"/>
      <c r="Q96" s="4"/>
      <c r="R96" s="4"/>
      <c r="S96" s="4"/>
      <c r="T96" s="4"/>
      <c r="U96" s="4"/>
      <c r="V96" s="4"/>
      <c r="W96" s="4"/>
    </row>
    <row r="97" spans="1:245" x14ac:dyDescent="0.2">
      <c r="A97" s="4">
        <v>50</v>
      </c>
      <c r="B97" s="4">
        <v>0</v>
      </c>
      <c r="C97" s="4">
        <v>0</v>
      </c>
      <c r="D97" s="4">
        <v>1</v>
      </c>
      <c r="E97" s="4">
        <v>224</v>
      </c>
      <c r="F97" s="4">
        <f>ROUND(Source!AR69,O97)</f>
        <v>12016912.83</v>
      </c>
      <c r="G97" s="4" t="s">
        <v>172</v>
      </c>
      <c r="H97" s="4" t="s">
        <v>173</v>
      </c>
      <c r="I97" s="4"/>
      <c r="J97" s="4"/>
      <c r="K97" s="4">
        <v>224</v>
      </c>
      <c r="L97" s="4">
        <v>27</v>
      </c>
      <c r="M97" s="4">
        <v>3</v>
      </c>
      <c r="N97" s="4" t="s">
        <v>6</v>
      </c>
      <c r="O97" s="4">
        <v>2</v>
      </c>
      <c r="P97" s="4"/>
      <c r="Q97" s="4"/>
      <c r="R97" s="4"/>
      <c r="S97" s="4"/>
      <c r="T97" s="4"/>
      <c r="U97" s="4"/>
      <c r="V97" s="4"/>
      <c r="W97" s="4"/>
    </row>
    <row r="99" spans="1:245" x14ac:dyDescent="0.2">
      <c r="A99" s="1">
        <v>5</v>
      </c>
      <c r="B99" s="1">
        <v>1</v>
      </c>
      <c r="C99" s="1"/>
      <c r="D99" s="1">
        <f>ROW(A106)</f>
        <v>106</v>
      </c>
      <c r="E99" s="1"/>
      <c r="F99" s="1" t="s">
        <v>28</v>
      </c>
      <c r="G99" s="1" t="s">
        <v>174</v>
      </c>
      <c r="H99" s="1" t="s">
        <v>6</v>
      </c>
      <c r="I99" s="1">
        <v>0</v>
      </c>
      <c r="J99" s="1"/>
      <c r="K99" s="1">
        <v>0</v>
      </c>
      <c r="L99" s="1"/>
      <c r="M99" s="1"/>
      <c r="N99" s="1"/>
      <c r="O99" s="1"/>
      <c r="P99" s="1"/>
      <c r="Q99" s="1"/>
      <c r="R99" s="1"/>
      <c r="S99" s="1"/>
      <c r="T99" s="1"/>
      <c r="U99" s="1" t="s">
        <v>6</v>
      </c>
      <c r="V99" s="1">
        <v>0</v>
      </c>
      <c r="W99" s="1"/>
      <c r="X99" s="1"/>
      <c r="Y99" s="1"/>
      <c r="Z99" s="1"/>
      <c r="AA99" s="1"/>
      <c r="AB99" s="1" t="s">
        <v>6</v>
      </c>
      <c r="AC99" s="1" t="s">
        <v>6</v>
      </c>
      <c r="AD99" s="1" t="s">
        <v>6</v>
      </c>
      <c r="AE99" s="1" t="s">
        <v>6</v>
      </c>
      <c r="AF99" s="1" t="s">
        <v>6</v>
      </c>
      <c r="AG99" s="1" t="s">
        <v>6</v>
      </c>
      <c r="AH99" s="1"/>
      <c r="AI99" s="1"/>
      <c r="AJ99" s="1"/>
      <c r="AK99" s="1"/>
      <c r="AL99" s="1"/>
      <c r="AM99" s="1"/>
      <c r="AN99" s="1"/>
      <c r="AO99" s="1"/>
      <c r="AP99" s="1" t="s">
        <v>6</v>
      </c>
      <c r="AQ99" s="1" t="s">
        <v>6</v>
      </c>
      <c r="AR99" s="1" t="s">
        <v>6</v>
      </c>
      <c r="AS99" s="1"/>
      <c r="AT99" s="1"/>
      <c r="AU99" s="1"/>
      <c r="AV99" s="1"/>
      <c r="AW99" s="1"/>
      <c r="AX99" s="1"/>
      <c r="AY99" s="1"/>
      <c r="AZ99" s="1" t="s">
        <v>6</v>
      </c>
      <c r="BA99" s="1"/>
      <c r="BB99" s="1" t="s">
        <v>6</v>
      </c>
      <c r="BC99" s="1" t="s">
        <v>6</v>
      </c>
      <c r="BD99" s="1" t="s">
        <v>6</v>
      </c>
      <c r="BE99" s="1" t="s">
        <v>6</v>
      </c>
      <c r="BF99" s="1" t="s">
        <v>6</v>
      </c>
      <c r="BG99" s="1" t="s">
        <v>6</v>
      </c>
      <c r="BH99" s="1" t="s">
        <v>6</v>
      </c>
      <c r="BI99" s="1" t="s">
        <v>6</v>
      </c>
      <c r="BJ99" s="1" t="s">
        <v>6</v>
      </c>
      <c r="BK99" s="1" t="s">
        <v>6</v>
      </c>
      <c r="BL99" s="1" t="s">
        <v>6</v>
      </c>
      <c r="BM99" s="1" t="s">
        <v>6</v>
      </c>
      <c r="BN99" s="1" t="s">
        <v>6</v>
      </c>
      <c r="BO99" s="1" t="s">
        <v>6</v>
      </c>
      <c r="BP99" s="1" t="s">
        <v>6</v>
      </c>
      <c r="BQ99" s="1"/>
      <c r="BR99" s="1"/>
      <c r="BS99" s="1"/>
      <c r="BT99" s="1"/>
      <c r="BU99" s="1"/>
      <c r="BV99" s="1"/>
      <c r="BW99" s="1"/>
      <c r="BX99" s="1">
        <v>0</v>
      </c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>
        <v>0</v>
      </c>
    </row>
    <row r="101" spans="1:245" x14ac:dyDescent="0.2">
      <c r="A101" s="2">
        <v>52</v>
      </c>
      <c r="B101" s="2">
        <f t="shared" ref="B101:G101" si="178">B106</f>
        <v>1</v>
      </c>
      <c r="C101" s="2">
        <f t="shared" si="178"/>
        <v>5</v>
      </c>
      <c r="D101" s="2">
        <f t="shared" si="178"/>
        <v>99</v>
      </c>
      <c r="E101" s="2">
        <f t="shared" si="178"/>
        <v>0</v>
      </c>
      <c r="F101" s="2" t="str">
        <f t="shared" si="178"/>
        <v>Новый подраздел</v>
      </c>
      <c r="G101" s="2" t="str">
        <f t="shared" si="178"/>
        <v>Монтажные рвботы</v>
      </c>
      <c r="H101" s="2"/>
      <c r="I101" s="2"/>
      <c r="J101" s="2"/>
      <c r="K101" s="2"/>
      <c r="L101" s="2"/>
      <c r="M101" s="2"/>
      <c r="N101" s="2"/>
      <c r="O101" s="2">
        <f t="shared" ref="O101:AT101" si="179">O106</f>
        <v>3227.8</v>
      </c>
      <c r="P101" s="2">
        <f t="shared" si="179"/>
        <v>2549.33</v>
      </c>
      <c r="Q101" s="2">
        <f t="shared" si="179"/>
        <v>0</v>
      </c>
      <c r="R101" s="2">
        <f t="shared" si="179"/>
        <v>0</v>
      </c>
      <c r="S101" s="2">
        <f t="shared" si="179"/>
        <v>678.47</v>
      </c>
      <c r="T101" s="2">
        <f t="shared" si="179"/>
        <v>0</v>
      </c>
      <c r="U101" s="2">
        <f t="shared" si="179"/>
        <v>2.5127999999999999</v>
      </c>
      <c r="V101" s="2">
        <f t="shared" si="179"/>
        <v>0</v>
      </c>
      <c r="W101" s="2">
        <f t="shared" si="179"/>
        <v>0</v>
      </c>
      <c r="X101" s="2">
        <f t="shared" si="179"/>
        <v>610.62</v>
      </c>
      <c r="Y101" s="2">
        <f t="shared" si="179"/>
        <v>291.74</v>
      </c>
      <c r="Z101" s="2">
        <f t="shared" si="179"/>
        <v>0</v>
      </c>
      <c r="AA101" s="2">
        <f t="shared" si="179"/>
        <v>0</v>
      </c>
      <c r="AB101" s="2">
        <f t="shared" si="179"/>
        <v>3227.8</v>
      </c>
      <c r="AC101" s="2">
        <f t="shared" si="179"/>
        <v>2549.33</v>
      </c>
      <c r="AD101" s="2">
        <f t="shared" si="179"/>
        <v>0</v>
      </c>
      <c r="AE101" s="2">
        <f t="shared" si="179"/>
        <v>0</v>
      </c>
      <c r="AF101" s="2">
        <f t="shared" si="179"/>
        <v>678.47</v>
      </c>
      <c r="AG101" s="2">
        <f t="shared" si="179"/>
        <v>0</v>
      </c>
      <c r="AH101" s="2">
        <f t="shared" si="179"/>
        <v>2.5127999999999999</v>
      </c>
      <c r="AI101" s="2">
        <f t="shared" si="179"/>
        <v>0</v>
      </c>
      <c r="AJ101" s="2">
        <f t="shared" si="179"/>
        <v>0</v>
      </c>
      <c r="AK101" s="2">
        <f t="shared" si="179"/>
        <v>610.62</v>
      </c>
      <c r="AL101" s="2">
        <f t="shared" si="179"/>
        <v>291.74</v>
      </c>
      <c r="AM101" s="2">
        <f t="shared" si="179"/>
        <v>0</v>
      </c>
      <c r="AN101" s="2">
        <f t="shared" si="179"/>
        <v>0</v>
      </c>
      <c r="AO101" s="2">
        <f t="shared" si="179"/>
        <v>0</v>
      </c>
      <c r="AP101" s="2">
        <f t="shared" si="179"/>
        <v>0</v>
      </c>
      <c r="AQ101" s="2">
        <f t="shared" si="179"/>
        <v>0</v>
      </c>
      <c r="AR101" s="2">
        <f t="shared" si="179"/>
        <v>4130.16</v>
      </c>
      <c r="AS101" s="2">
        <f t="shared" si="179"/>
        <v>1095.7</v>
      </c>
      <c r="AT101" s="2">
        <f t="shared" si="179"/>
        <v>3034.46</v>
      </c>
      <c r="AU101" s="2">
        <f t="shared" ref="AU101:BZ101" si="180">AU106</f>
        <v>0</v>
      </c>
      <c r="AV101" s="2">
        <f t="shared" si="180"/>
        <v>2549.33</v>
      </c>
      <c r="AW101" s="2">
        <f t="shared" si="180"/>
        <v>2549.33</v>
      </c>
      <c r="AX101" s="2">
        <f t="shared" si="180"/>
        <v>0</v>
      </c>
      <c r="AY101" s="2">
        <f t="shared" si="180"/>
        <v>2549.33</v>
      </c>
      <c r="AZ101" s="2">
        <f t="shared" si="180"/>
        <v>0</v>
      </c>
      <c r="BA101" s="2">
        <f t="shared" si="180"/>
        <v>0</v>
      </c>
      <c r="BB101" s="2">
        <f t="shared" si="180"/>
        <v>0</v>
      </c>
      <c r="BC101" s="2">
        <f t="shared" si="180"/>
        <v>0</v>
      </c>
      <c r="BD101" s="2">
        <f t="shared" si="180"/>
        <v>0</v>
      </c>
      <c r="BE101" s="2">
        <f t="shared" si="180"/>
        <v>0</v>
      </c>
      <c r="BF101" s="2">
        <f t="shared" si="180"/>
        <v>0</v>
      </c>
      <c r="BG101" s="2">
        <f t="shared" si="180"/>
        <v>0</v>
      </c>
      <c r="BH101" s="2">
        <f t="shared" si="180"/>
        <v>0</v>
      </c>
      <c r="BI101" s="2">
        <f t="shared" si="180"/>
        <v>0</v>
      </c>
      <c r="BJ101" s="2">
        <f t="shared" si="180"/>
        <v>0</v>
      </c>
      <c r="BK101" s="2">
        <f t="shared" si="180"/>
        <v>0</v>
      </c>
      <c r="BL101" s="2">
        <f t="shared" si="180"/>
        <v>0</v>
      </c>
      <c r="BM101" s="2">
        <f t="shared" si="180"/>
        <v>0</v>
      </c>
      <c r="BN101" s="2">
        <f t="shared" si="180"/>
        <v>0</v>
      </c>
      <c r="BO101" s="2">
        <f t="shared" si="180"/>
        <v>0</v>
      </c>
      <c r="BP101" s="2">
        <f t="shared" si="180"/>
        <v>0</v>
      </c>
      <c r="BQ101" s="2">
        <f t="shared" si="180"/>
        <v>0</v>
      </c>
      <c r="BR101" s="2">
        <f t="shared" si="180"/>
        <v>0</v>
      </c>
      <c r="BS101" s="2">
        <f t="shared" si="180"/>
        <v>0</v>
      </c>
      <c r="BT101" s="2">
        <f t="shared" si="180"/>
        <v>0</v>
      </c>
      <c r="BU101" s="2">
        <f t="shared" si="180"/>
        <v>0</v>
      </c>
      <c r="BV101" s="2">
        <f t="shared" si="180"/>
        <v>0</v>
      </c>
      <c r="BW101" s="2">
        <f t="shared" si="180"/>
        <v>0</v>
      </c>
      <c r="BX101" s="2">
        <f t="shared" si="180"/>
        <v>0</v>
      </c>
      <c r="BY101" s="2">
        <f t="shared" si="180"/>
        <v>0</v>
      </c>
      <c r="BZ101" s="2">
        <f t="shared" si="180"/>
        <v>0</v>
      </c>
      <c r="CA101" s="2">
        <f t="shared" ref="CA101:DF101" si="181">CA106</f>
        <v>4130.16</v>
      </c>
      <c r="CB101" s="2">
        <f t="shared" si="181"/>
        <v>1095.7</v>
      </c>
      <c r="CC101" s="2">
        <f t="shared" si="181"/>
        <v>3034.46</v>
      </c>
      <c r="CD101" s="2">
        <f t="shared" si="181"/>
        <v>0</v>
      </c>
      <c r="CE101" s="2">
        <f t="shared" si="181"/>
        <v>2549.33</v>
      </c>
      <c r="CF101" s="2">
        <f t="shared" si="181"/>
        <v>2549.33</v>
      </c>
      <c r="CG101" s="2">
        <f t="shared" si="181"/>
        <v>0</v>
      </c>
      <c r="CH101" s="2">
        <f t="shared" si="181"/>
        <v>2549.33</v>
      </c>
      <c r="CI101" s="2">
        <f t="shared" si="181"/>
        <v>0</v>
      </c>
      <c r="CJ101" s="2">
        <f t="shared" si="181"/>
        <v>0</v>
      </c>
      <c r="CK101" s="2">
        <f t="shared" si="181"/>
        <v>0</v>
      </c>
      <c r="CL101" s="2">
        <f t="shared" si="181"/>
        <v>0</v>
      </c>
      <c r="CM101" s="2">
        <f t="shared" si="181"/>
        <v>0</v>
      </c>
      <c r="CN101" s="2">
        <f t="shared" si="181"/>
        <v>0</v>
      </c>
      <c r="CO101" s="2">
        <f t="shared" si="181"/>
        <v>0</v>
      </c>
      <c r="CP101" s="2">
        <f t="shared" si="181"/>
        <v>0</v>
      </c>
      <c r="CQ101" s="2">
        <f t="shared" si="181"/>
        <v>0</v>
      </c>
      <c r="CR101" s="2">
        <f t="shared" si="181"/>
        <v>0</v>
      </c>
      <c r="CS101" s="2">
        <f t="shared" si="181"/>
        <v>0</v>
      </c>
      <c r="CT101" s="2">
        <f t="shared" si="181"/>
        <v>0</v>
      </c>
      <c r="CU101" s="2">
        <f t="shared" si="181"/>
        <v>0</v>
      </c>
      <c r="CV101" s="2">
        <f t="shared" si="181"/>
        <v>0</v>
      </c>
      <c r="CW101" s="2">
        <f t="shared" si="181"/>
        <v>0</v>
      </c>
      <c r="CX101" s="2">
        <f t="shared" si="181"/>
        <v>0</v>
      </c>
      <c r="CY101" s="2">
        <f t="shared" si="181"/>
        <v>0</v>
      </c>
      <c r="CZ101" s="2">
        <f t="shared" si="181"/>
        <v>0</v>
      </c>
      <c r="DA101" s="2">
        <f t="shared" si="181"/>
        <v>0</v>
      </c>
      <c r="DB101" s="2">
        <f t="shared" si="181"/>
        <v>0</v>
      </c>
      <c r="DC101" s="2">
        <f t="shared" si="181"/>
        <v>0</v>
      </c>
      <c r="DD101" s="2">
        <f t="shared" si="181"/>
        <v>0</v>
      </c>
      <c r="DE101" s="2">
        <f t="shared" si="181"/>
        <v>0</v>
      </c>
      <c r="DF101" s="2">
        <f t="shared" si="181"/>
        <v>0</v>
      </c>
      <c r="DG101" s="3">
        <f t="shared" ref="DG101:EL101" si="182">DG106</f>
        <v>0</v>
      </c>
      <c r="DH101" s="3">
        <f t="shared" si="182"/>
        <v>0</v>
      </c>
      <c r="DI101" s="3">
        <f t="shared" si="182"/>
        <v>0</v>
      </c>
      <c r="DJ101" s="3">
        <f t="shared" si="182"/>
        <v>0</v>
      </c>
      <c r="DK101" s="3">
        <f t="shared" si="182"/>
        <v>0</v>
      </c>
      <c r="DL101" s="3">
        <f t="shared" si="182"/>
        <v>0</v>
      </c>
      <c r="DM101" s="3">
        <f t="shared" si="182"/>
        <v>0</v>
      </c>
      <c r="DN101" s="3">
        <f t="shared" si="182"/>
        <v>0</v>
      </c>
      <c r="DO101" s="3">
        <f t="shared" si="182"/>
        <v>0</v>
      </c>
      <c r="DP101" s="3">
        <f t="shared" si="182"/>
        <v>0</v>
      </c>
      <c r="DQ101" s="3">
        <f t="shared" si="182"/>
        <v>0</v>
      </c>
      <c r="DR101" s="3">
        <f t="shared" si="182"/>
        <v>0</v>
      </c>
      <c r="DS101" s="3">
        <f t="shared" si="182"/>
        <v>0</v>
      </c>
      <c r="DT101" s="3">
        <f t="shared" si="182"/>
        <v>0</v>
      </c>
      <c r="DU101" s="3">
        <f t="shared" si="182"/>
        <v>0</v>
      </c>
      <c r="DV101" s="3">
        <f t="shared" si="182"/>
        <v>0</v>
      </c>
      <c r="DW101" s="3">
        <f t="shared" si="182"/>
        <v>0</v>
      </c>
      <c r="DX101" s="3">
        <f t="shared" si="182"/>
        <v>0</v>
      </c>
      <c r="DY101" s="3">
        <f t="shared" si="182"/>
        <v>0</v>
      </c>
      <c r="DZ101" s="3">
        <f t="shared" si="182"/>
        <v>0</v>
      </c>
      <c r="EA101" s="3">
        <f t="shared" si="182"/>
        <v>0</v>
      </c>
      <c r="EB101" s="3">
        <f t="shared" si="182"/>
        <v>0</v>
      </c>
      <c r="EC101" s="3">
        <f t="shared" si="182"/>
        <v>0</v>
      </c>
      <c r="ED101" s="3">
        <f t="shared" si="182"/>
        <v>0</v>
      </c>
      <c r="EE101" s="3">
        <f t="shared" si="182"/>
        <v>0</v>
      </c>
      <c r="EF101" s="3">
        <f t="shared" si="182"/>
        <v>0</v>
      </c>
      <c r="EG101" s="3">
        <f t="shared" si="182"/>
        <v>0</v>
      </c>
      <c r="EH101" s="3">
        <f t="shared" si="182"/>
        <v>0</v>
      </c>
      <c r="EI101" s="3">
        <f t="shared" si="182"/>
        <v>0</v>
      </c>
      <c r="EJ101" s="3">
        <f t="shared" si="182"/>
        <v>0</v>
      </c>
      <c r="EK101" s="3">
        <f t="shared" si="182"/>
        <v>0</v>
      </c>
      <c r="EL101" s="3">
        <f t="shared" si="182"/>
        <v>0</v>
      </c>
      <c r="EM101" s="3">
        <f t="shared" ref="EM101:FR101" si="183">EM106</f>
        <v>0</v>
      </c>
      <c r="EN101" s="3">
        <f t="shared" si="183"/>
        <v>0</v>
      </c>
      <c r="EO101" s="3">
        <f t="shared" si="183"/>
        <v>0</v>
      </c>
      <c r="EP101" s="3">
        <f t="shared" si="183"/>
        <v>0</v>
      </c>
      <c r="EQ101" s="3">
        <f t="shared" si="183"/>
        <v>0</v>
      </c>
      <c r="ER101" s="3">
        <f t="shared" si="183"/>
        <v>0</v>
      </c>
      <c r="ES101" s="3">
        <f t="shared" si="183"/>
        <v>0</v>
      </c>
      <c r="ET101" s="3">
        <f t="shared" si="183"/>
        <v>0</v>
      </c>
      <c r="EU101" s="3">
        <f t="shared" si="183"/>
        <v>0</v>
      </c>
      <c r="EV101" s="3">
        <f t="shared" si="183"/>
        <v>0</v>
      </c>
      <c r="EW101" s="3">
        <f t="shared" si="183"/>
        <v>0</v>
      </c>
      <c r="EX101" s="3">
        <f t="shared" si="183"/>
        <v>0</v>
      </c>
      <c r="EY101" s="3">
        <f t="shared" si="183"/>
        <v>0</v>
      </c>
      <c r="EZ101" s="3">
        <f t="shared" si="183"/>
        <v>0</v>
      </c>
      <c r="FA101" s="3">
        <f t="shared" si="183"/>
        <v>0</v>
      </c>
      <c r="FB101" s="3">
        <f t="shared" si="183"/>
        <v>0</v>
      </c>
      <c r="FC101" s="3">
        <f t="shared" si="183"/>
        <v>0</v>
      </c>
      <c r="FD101" s="3">
        <f t="shared" si="183"/>
        <v>0</v>
      </c>
      <c r="FE101" s="3">
        <f t="shared" si="183"/>
        <v>0</v>
      </c>
      <c r="FF101" s="3">
        <f t="shared" si="183"/>
        <v>0</v>
      </c>
      <c r="FG101" s="3">
        <f t="shared" si="183"/>
        <v>0</v>
      </c>
      <c r="FH101" s="3">
        <f t="shared" si="183"/>
        <v>0</v>
      </c>
      <c r="FI101" s="3">
        <f t="shared" si="183"/>
        <v>0</v>
      </c>
      <c r="FJ101" s="3">
        <f t="shared" si="183"/>
        <v>0</v>
      </c>
      <c r="FK101" s="3">
        <f t="shared" si="183"/>
        <v>0</v>
      </c>
      <c r="FL101" s="3">
        <f t="shared" si="183"/>
        <v>0</v>
      </c>
      <c r="FM101" s="3">
        <f t="shared" si="183"/>
        <v>0</v>
      </c>
      <c r="FN101" s="3">
        <f t="shared" si="183"/>
        <v>0</v>
      </c>
      <c r="FO101" s="3">
        <f t="shared" si="183"/>
        <v>0</v>
      </c>
      <c r="FP101" s="3">
        <f t="shared" si="183"/>
        <v>0</v>
      </c>
      <c r="FQ101" s="3">
        <f t="shared" si="183"/>
        <v>0</v>
      </c>
      <c r="FR101" s="3">
        <f t="shared" si="183"/>
        <v>0</v>
      </c>
      <c r="FS101" s="3">
        <f t="shared" ref="FS101:GX101" si="184">FS106</f>
        <v>0</v>
      </c>
      <c r="FT101" s="3">
        <f t="shared" si="184"/>
        <v>0</v>
      </c>
      <c r="FU101" s="3">
        <f t="shared" si="184"/>
        <v>0</v>
      </c>
      <c r="FV101" s="3">
        <f t="shared" si="184"/>
        <v>0</v>
      </c>
      <c r="FW101" s="3">
        <f t="shared" si="184"/>
        <v>0</v>
      </c>
      <c r="FX101" s="3">
        <f t="shared" si="184"/>
        <v>0</v>
      </c>
      <c r="FY101" s="3">
        <f t="shared" si="184"/>
        <v>0</v>
      </c>
      <c r="FZ101" s="3">
        <f t="shared" si="184"/>
        <v>0</v>
      </c>
      <c r="GA101" s="3">
        <f t="shared" si="184"/>
        <v>0</v>
      </c>
      <c r="GB101" s="3">
        <f t="shared" si="184"/>
        <v>0</v>
      </c>
      <c r="GC101" s="3">
        <f t="shared" si="184"/>
        <v>0</v>
      </c>
      <c r="GD101" s="3">
        <f t="shared" si="184"/>
        <v>0</v>
      </c>
      <c r="GE101" s="3">
        <f t="shared" si="184"/>
        <v>0</v>
      </c>
      <c r="GF101" s="3">
        <f t="shared" si="184"/>
        <v>0</v>
      </c>
      <c r="GG101" s="3">
        <f t="shared" si="184"/>
        <v>0</v>
      </c>
      <c r="GH101" s="3">
        <f t="shared" si="184"/>
        <v>0</v>
      </c>
      <c r="GI101" s="3">
        <f t="shared" si="184"/>
        <v>0</v>
      </c>
      <c r="GJ101" s="3">
        <f t="shared" si="184"/>
        <v>0</v>
      </c>
      <c r="GK101" s="3">
        <f t="shared" si="184"/>
        <v>0</v>
      </c>
      <c r="GL101" s="3">
        <f t="shared" si="184"/>
        <v>0</v>
      </c>
      <c r="GM101" s="3">
        <f t="shared" si="184"/>
        <v>0</v>
      </c>
      <c r="GN101" s="3">
        <f t="shared" si="184"/>
        <v>0</v>
      </c>
      <c r="GO101" s="3">
        <f t="shared" si="184"/>
        <v>0</v>
      </c>
      <c r="GP101" s="3">
        <f t="shared" si="184"/>
        <v>0</v>
      </c>
      <c r="GQ101" s="3">
        <f t="shared" si="184"/>
        <v>0</v>
      </c>
      <c r="GR101" s="3">
        <f t="shared" si="184"/>
        <v>0</v>
      </c>
      <c r="GS101" s="3">
        <f t="shared" si="184"/>
        <v>0</v>
      </c>
      <c r="GT101" s="3">
        <f t="shared" si="184"/>
        <v>0</v>
      </c>
      <c r="GU101" s="3">
        <f t="shared" si="184"/>
        <v>0</v>
      </c>
      <c r="GV101" s="3">
        <f t="shared" si="184"/>
        <v>0</v>
      </c>
      <c r="GW101" s="3">
        <f t="shared" si="184"/>
        <v>0</v>
      </c>
      <c r="GX101" s="3">
        <f t="shared" si="184"/>
        <v>0</v>
      </c>
    </row>
    <row r="103" spans="1:245" x14ac:dyDescent="0.2">
      <c r="A103">
        <v>17</v>
      </c>
      <c r="B103">
        <v>1</v>
      </c>
      <c r="D103">
        <f>ROW(EtalonRes!A88)</f>
        <v>88</v>
      </c>
      <c r="E103" t="s">
        <v>30</v>
      </c>
      <c r="F103" t="s">
        <v>175</v>
      </c>
      <c r="G103" t="s">
        <v>176</v>
      </c>
      <c r="H103" t="s">
        <v>177</v>
      </c>
      <c r="I103">
        <f>ROUND(4*3*2,9)</f>
        <v>24</v>
      </c>
      <c r="J103">
        <v>0</v>
      </c>
      <c r="O103">
        <f>ROUND(CP103,2)</f>
        <v>2132.1</v>
      </c>
      <c r="P103">
        <f>ROUND((ROUND((AC103*AW103*I103),2)*BC103),2)</f>
        <v>1453.63</v>
      </c>
      <c r="Q103">
        <f>(ROUND((ROUND(((ET103)*AV103*I103),2)*BB103),2)+ROUND((ROUND(((AE103-(EU103))*AV103*I103),2)*BS103),2))</f>
        <v>0</v>
      </c>
      <c r="R103">
        <f>ROUND((ROUND((AE103*AV103*I103),2)*BS103),2)</f>
        <v>0</v>
      </c>
      <c r="S103">
        <f>ROUND((ROUND((AF103*AV103*I103),2)*BA103),2)</f>
        <v>678.47</v>
      </c>
      <c r="T103">
        <f>ROUND(CU103*I103,2)</f>
        <v>0</v>
      </c>
      <c r="U103">
        <f>CV103*I103</f>
        <v>2.5127999999999999</v>
      </c>
      <c r="V103">
        <f>CW103*I103</f>
        <v>0</v>
      </c>
      <c r="W103">
        <f>ROUND(CX103*I103,2)</f>
        <v>0</v>
      </c>
      <c r="X103">
        <f>ROUND(CY103,2)</f>
        <v>610.62</v>
      </c>
      <c r="Y103">
        <f>ROUND(CZ103,2)</f>
        <v>291.74</v>
      </c>
      <c r="AA103">
        <v>44175489</v>
      </c>
      <c r="AB103">
        <f>ROUND((AC103+AD103+AF103),6)</f>
        <v>12.56</v>
      </c>
      <c r="AC103">
        <f>ROUND((ES103),6)</f>
        <v>11.3</v>
      </c>
      <c r="AD103">
        <f>ROUND((((ET103)-(EU103))+AE103),6)</f>
        <v>0</v>
      </c>
      <c r="AE103">
        <f>ROUND((EU103),6)</f>
        <v>0</v>
      </c>
      <c r="AF103">
        <f>ROUND((EV103),6)</f>
        <v>1.26</v>
      </c>
      <c r="AG103">
        <f>ROUND((AP103),6)</f>
        <v>0</v>
      </c>
      <c r="AH103">
        <f>(EW103)</f>
        <v>0.1</v>
      </c>
      <c r="AI103">
        <f>(EX103)</f>
        <v>0</v>
      </c>
      <c r="AJ103">
        <f>(AS103)</f>
        <v>0</v>
      </c>
      <c r="AK103">
        <v>12.56</v>
      </c>
      <c r="AL103">
        <v>11.3</v>
      </c>
      <c r="AM103">
        <v>0</v>
      </c>
      <c r="AN103">
        <v>0</v>
      </c>
      <c r="AO103">
        <v>1.26</v>
      </c>
      <c r="AP103">
        <v>0</v>
      </c>
      <c r="AQ103">
        <v>0.1</v>
      </c>
      <c r="AR103">
        <v>0</v>
      </c>
      <c r="AS103">
        <v>0</v>
      </c>
      <c r="AT103">
        <v>90</v>
      </c>
      <c r="AU103">
        <v>43</v>
      </c>
      <c r="AV103">
        <v>1.0469999999999999</v>
      </c>
      <c r="AW103">
        <v>1</v>
      </c>
      <c r="AZ103">
        <v>1</v>
      </c>
      <c r="BA103">
        <v>21.43</v>
      </c>
      <c r="BB103">
        <v>1</v>
      </c>
      <c r="BC103">
        <v>5.36</v>
      </c>
      <c r="BD103" t="s">
        <v>6</v>
      </c>
      <c r="BE103" t="s">
        <v>6</v>
      </c>
      <c r="BF103" t="s">
        <v>6</v>
      </c>
      <c r="BG103" t="s">
        <v>6</v>
      </c>
      <c r="BH103">
        <v>0</v>
      </c>
      <c r="BI103">
        <v>2</v>
      </c>
      <c r="BJ103" t="s">
        <v>178</v>
      </c>
      <c r="BM103">
        <v>338</v>
      </c>
      <c r="BN103">
        <v>0</v>
      </c>
      <c r="BO103" t="s">
        <v>175</v>
      </c>
      <c r="BP103">
        <v>1</v>
      </c>
      <c r="BQ103">
        <v>40</v>
      </c>
      <c r="BR103">
        <v>0</v>
      </c>
      <c r="BS103">
        <v>21.43</v>
      </c>
      <c r="BT103">
        <v>1</v>
      </c>
      <c r="BU103">
        <v>1</v>
      </c>
      <c r="BV103">
        <v>1</v>
      </c>
      <c r="BW103">
        <v>1</v>
      </c>
      <c r="BX103">
        <v>1</v>
      </c>
      <c r="BY103" t="s">
        <v>6</v>
      </c>
      <c r="BZ103">
        <v>90</v>
      </c>
      <c r="CA103">
        <v>43</v>
      </c>
      <c r="CE103">
        <v>30</v>
      </c>
      <c r="CF103">
        <v>0</v>
      </c>
      <c r="CG103">
        <v>0</v>
      </c>
      <c r="CM103">
        <v>0</v>
      </c>
      <c r="CN103" t="s">
        <v>6</v>
      </c>
      <c r="CO103">
        <v>0</v>
      </c>
      <c r="CP103">
        <f>(P103+Q103+S103)</f>
        <v>2132.1000000000004</v>
      </c>
      <c r="CQ103">
        <f>ROUND((ROUND((AC103*AW103*1),2)*BC103),2)</f>
        <v>60.57</v>
      </c>
      <c r="CR103">
        <f>(ROUND((ROUND(((ET103)*AV103*1),2)*BB103),2)+ROUND((ROUND(((AE103-(EU103))*AV103*1),2)*BS103),2))</f>
        <v>0</v>
      </c>
      <c r="CS103">
        <f>ROUND((ROUND((AE103*AV103*1),2)*BS103),2)</f>
        <v>0</v>
      </c>
      <c r="CT103">
        <f>ROUND((ROUND((AF103*AV103*1),2)*BA103),2)</f>
        <v>28.29</v>
      </c>
      <c r="CU103">
        <f>AG103</f>
        <v>0</v>
      </c>
      <c r="CV103">
        <f>(AH103*AV103)</f>
        <v>0.1047</v>
      </c>
      <c r="CW103">
        <f>AI103</f>
        <v>0</v>
      </c>
      <c r="CX103">
        <f>AJ103</f>
        <v>0</v>
      </c>
      <c r="CY103">
        <f>S103*(BZ103/100)</f>
        <v>610.62300000000005</v>
      </c>
      <c r="CZ103">
        <f>S103*(CA103/100)</f>
        <v>291.74209999999999</v>
      </c>
      <c r="DC103" t="s">
        <v>6</v>
      </c>
      <c r="DD103" t="s">
        <v>6</v>
      </c>
      <c r="DE103" t="s">
        <v>6</v>
      </c>
      <c r="DF103" t="s">
        <v>6</v>
      </c>
      <c r="DG103" t="s">
        <v>6</v>
      </c>
      <c r="DH103" t="s">
        <v>6</v>
      </c>
      <c r="DI103" t="s">
        <v>6</v>
      </c>
      <c r="DJ103" t="s">
        <v>6</v>
      </c>
      <c r="DK103" t="s">
        <v>6</v>
      </c>
      <c r="DL103" t="s">
        <v>6</v>
      </c>
      <c r="DM103" t="s">
        <v>6</v>
      </c>
      <c r="DN103">
        <v>112</v>
      </c>
      <c r="DO103">
        <v>70</v>
      </c>
      <c r="DP103">
        <v>1.0469999999999999</v>
      </c>
      <c r="DQ103">
        <v>1</v>
      </c>
      <c r="DU103">
        <v>1013</v>
      </c>
      <c r="DV103" t="s">
        <v>177</v>
      </c>
      <c r="DW103" t="s">
        <v>177</v>
      </c>
      <c r="DX103">
        <v>1</v>
      </c>
      <c r="EE103">
        <v>44064157</v>
      </c>
      <c r="EF103">
        <v>40</v>
      </c>
      <c r="EG103" t="s">
        <v>179</v>
      </c>
      <c r="EH103">
        <v>0</v>
      </c>
      <c r="EI103" t="s">
        <v>6</v>
      </c>
      <c r="EJ103">
        <v>2</v>
      </c>
      <c r="EK103">
        <v>338</v>
      </c>
      <c r="EL103" t="s">
        <v>180</v>
      </c>
      <c r="EM103" t="s">
        <v>181</v>
      </c>
      <c r="EO103" t="s">
        <v>6</v>
      </c>
      <c r="EQ103">
        <v>131072</v>
      </c>
      <c r="ER103">
        <v>12.56</v>
      </c>
      <c r="ES103">
        <v>11.3</v>
      </c>
      <c r="ET103">
        <v>0</v>
      </c>
      <c r="EU103">
        <v>0</v>
      </c>
      <c r="EV103">
        <v>1.26</v>
      </c>
      <c r="EW103">
        <v>0.1</v>
      </c>
      <c r="EX103">
        <v>0</v>
      </c>
      <c r="EY103">
        <v>0</v>
      </c>
      <c r="FQ103">
        <v>0</v>
      </c>
      <c r="FR103">
        <f>ROUND(IF(AND(BH103=3,BI103=3),P103,0),2)</f>
        <v>0</v>
      </c>
      <c r="FS103">
        <v>0</v>
      </c>
      <c r="FX103">
        <v>112</v>
      </c>
      <c r="FY103">
        <v>70</v>
      </c>
      <c r="GA103" t="s">
        <v>6</v>
      </c>
      <c r="GD103">
        <v>0</v>
      </c>
      <c r="GF103">
        <v>1445184019</v>
      </c>
      <c r="GG103">
        <v>2</v>
      </c>
      <c r="GH103">
        <v>1</v>
      </c>
      <c r="GI103">
        <v>2</v>
      </c>
      <c r="GJ103">
        <v>0</v>
      </c>
      <c r="GK103">
        <f>ROUND(R103*(R12)/100,2)</f>
        <v>0</v>
      </c>
      <c r="GL103">
        <f>ROUND(IF(AND(BH103=3,BI103=3,FS103&lt;&gt;0),P103,0),2)</f>
        <v>0</v>
      </c>
      <c r="GM103">
        <f>ROUND(O103+X103+Y103+GK103,2)+GX103</f>
        <v>3034.46</v>
      </c>
      <c r="GN103">
        <f>IF(OR(BI103=0,BI103=1),ROUND(O103+X103+Y103+GK103,2),0)</f>
        <v>0</v>
      </c>
      <c r="GO103">
        <f>IF(BI103=2,ROUND(O103+X103+Y103+GK103,2),0)</f>
        <v>3034.46</v>
      </c>
      <c r="GP103">
        <f>IF(BI103=4,ROUND(O103+X103+Y103+GK103,2)+GX103,0)</f>
        <v>0</v>
      </c>
      <c r="GR103">
        <v>0</v>
      </c>
      <c r="GS103">
        <v>0</v>
      </c>
      <c r="GT103">
        <v>0</v>
      </c>
      <c r="GU103" t="s">
        <v>6</v>
      </c>
      <c r="GV103">
        <f>ROUND((GT103),6)</f>
        <v>0</v>
      </c>
      <c r="GW103">
        <v>1</v>
      </c>
      <c r="GX103">
        <f>ROUND(HC103*I103,2)</f>
        <v>0</v>
      </c>
      <c r="HA103">
        <v>0</v>
      </c>
      <c r="HB103">
        <v>0</v>
      </c>
      <c r="HC103">
        <f>GV103*GW103</f>
        <v>0</v>
      </c>
      <c r="IK103">
        <v>0</v>
      </c>
    </row>
    <row r="104" spans="1:245" x14ac:dyDescent="0.2">
      <c r="A104">
        <v>17</v>
      </c>
      <c r="B104">
        <v>1</v>
      </c>
      <c r="E104" t="s">
        <v>24</v>
      </c>
      <c r="F104" t="s">
        <v>182</v>
      </c>
      <c r="G104" t="s">
        <v>183</v>
      </c>
      <c r="H104" t="s">
        <v>184</v>
      </c>
      <c r="I104">
        <f>ROUND(I103,9)</f>
        <v>24</v>
      </c>
      <c r="J104">
        <v>0</v>
      </c>
      <c r="O104">
        <f>ROUND(CP104,2)</f>
        <v>1095.7</v>
      </c>
      <c r="P104">
        <f>ROUND((ROUND((AC104*AW104*I104),2)*BC104),2)</f>
        <v>1095.7</v>
      </c>
      <c r="Q104">
        <f>(ROUND((ROUND(((ET104)*AV104*I104),2)*BB104),2)+ROUND((ROUND(((AE104-(EU104))*AV104*I104),2)*BS104),2))</f>
        <v>0</v>
      </c>
      <c r="R104">
        <f>ROUND((ROUND((AE104*AV104*I104),2)*BS104),2)</f>
        <v>0</v>
      </c>
      <c r="S104">
        <f>ROUND((ROUND((AF104*AV104*I104),2)*BA104),2)</f>
        <v>0</v>
      </c>
      <c r="T104">
        <f>ROUND(CU104*I104,2)</f>
        <v>0</v>
      </c>
      <c r="U104">
        <f>CV104*I104</f>
        <v>0</v>
      </c>
      <c r="V104">
        <f>CW104*I104</f>
        <v>0</v>
      </c>
      <c r="W104">
        <f>ROUND(CX104*I104,2)</f>
        <v>0</v>
      </c>
      <c r="X104">
        <f>ROUND(CY104,2)</f>
        <v>0</v>
      </c>
      <c r="Y104">
        <f>ROUND(CZ104,2)</f>
        <v>0</v>
      </c>
      <c r="AA104">
        <v>44175489</v>
      </c>
      <c r="AB104">
        <f>ROUND((AC104+AD104+AF104),6)</f>
        <v>31.27</v>
      </c>
      <c r="AC104">
        <f>ROUND((ES104),6)</f>
        <v>31.27</v>
      </c>
      <c r="AD104">
        <f>ROUND((((ET104)-(EU104))+AE104),6)</f>
        <v>0</v>
      </c>
      <c r="AE104">
        <f>ROUND((EU104),6)</f>
        <v>0</v>
      </c>
      <c r="AF104">
        <f>ROUND((EV104),6)</f>
        <v>0</v>
      </c>
      <c r="AG104">
        <f>ROUND((AP104),6)</f>
        <v>0</v>
      </c>
      <c r="AH104">
        <f>(EW104)</f>
        <v>0</v>
      </c>
      <c r="AI104">
        <f>(EX104)</f>
        <v>0</v>
      </c>
      <c r="AJ104">
        <f>(AS104)</f>
        <v>0</v>
      </c>
      <c r="AK104">
        <v>31.27</v>
      </c>
      <c r="AL104">
        <v>31.27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1</v>
      </c>
      <c r="AW104">
        <v>1</v>
      </c>
      <c r="AZ104">
        <v>1</v>
      </c>
      <c r="BA104">
        <v>1</v>
      </c>
      <c r="BB104">
        <v>1</v>
      </c>
      <c r="BC104">
        <v>1.46</v>
      </c>
      <c r="BD104" t="s">
        <v>6</v>
      </c>
      <c r="BE104" t="s">
        <v>6</v>
      </c>
      <c r="BF104" t="s">
        <v>6</v>
      </c>
      <c r="BG104" t="s">
        <v>6</v>
      </c>
      <c r="BH104">
        <v>3</v>
      </c>
      <c r="BI104">
        <v>1</v>
      </c>
      <c r="BJ104" t="s">
        <v>185</v>
      </c>
      <c r="BM104">
        <v>1617</v>
      </c>
      <c r="BN104">
        <v>0</v>
      </c>
      <c r="BO104" t="s">
        <v>182</v>
      </c>
      <c r="BP104">
        <v>1</v>
      </c>
      <c r="BQ104">
        <v>200</v>
      </c>
      <c r="BR104">
        <v>0</v>
      </c>
      <c r="BS104">
        <v>1</v>
      </c>
      <c r="BT104">
        <v>1</v>
      </c>
      <c r="BU104">
        <v>1</v>
      </c>
      <c r="BV104">
        <v>1</v>
      </c>
      <c r="BW104">
        <v>1</v>
      </c>
      <c r="BX104">
        <v>1</v>
      </c>
      <c r="BY104" t="s">
        <v>6</v>
      </c>
      <c r="BZ104">
        <v>0</v>
      </c>
      <c r="CA104">
        <v>0</v>
      </c>
      <c r="CE104">
        <v>30</v>
      </c>
      <c r="CF104">
        <v>0</v>
      </c>
      <c r="CG104">
        <v>0</v>
      </c>
      <c r="CM104">
        <v>0</v>
      </c>
      <c r="CN104" t="s">
        <v>6</v>
      </c>
      <c r="CO104">
        <v>0</v>
      </c>
      <c r="CP104">
        <f>(P104+Q104+S104)</f>
        <v>1095.7</v>
      </c>
      <c r="CQ104">
        <f>ROUND((ROUND((AC104*AW104*1),2)*BC104),2)</f>
        <v>45.65</v>
      </c>
      <c r="CR104">
        <f>(ROUND((ROUND(((ET104)*AV104*1),2)*BB104),2)+ROUND((ROUND(((AE104-(EU104))*AV104*1),2)*BS104),2))</f>
        <v>0</v>
      </c>
      <c r="CS104">
        <f>ROUND((ROUND((AE104*AV104*1),2)*BS104),2)</f>
        <v>0</v>
      </c>
      <c r="CT104">
        <f>ROUND((ROUND((AF104*AV104*1),2)*BA104),2)</f>
        <v>0</v>
      </c>
      <c r="CU104">
        <f>AG104</f>
        <v>0</v>
      </c>
      <c r="CV104">
        <f>(AH104*AV104)</f>
        <v>0</v>
      </c>
      <c r="CW104">
        <f>AI104</f>
        <v>0</v>
      </c>
      <c r="CX104">
        <f>AJ104</f>
        <v>0</v>
      </c>
      <c r="CY104">
        <f>S104*(BZ104/100)</f>
        <v>0</v>
      </c>
      <c r="CZ104">
        <f>S104*(CA104/100)</f>
        <v>0</v>
      </c>
      <c r="DC104" t="s">
        <v>6</v>
      </c>
      <c r="DD104" t="s">
        <v>6</v>
      </c>
      <c r="DE104" t="s">
        <v>6</v>
      </c>
      <c r="DF104" t="s">
        <v>6</v>
      </c>
      <c r="DG104" t="s">
        <v>6</v>
      </c>
      <c r="DH104" t="s">
        <v>6</v>
      </c>
      <c r="DI104" t="s">
        <v>6</v>
      </c>
      <c r="DJ104" t="s">
        <v>6</v>
      </c>
      <c r="DK104" t="s">
        <v>6</v>
      </c>
      <c r="DL104" t="s">
        <v>6</v>
      </c>
      <c r="DM104" t="s">
        <v>6</v>
      </c>
      <c r="DN104">
        <v>0</v>
      </c>
      <c r="DO104">
        <v>0</v>
      </c>
      <c r="DP104">
        <v>1</v>
      </c>
      <c r="DQ104">
        <v>1</v>
      </c>
      <c r="DU104">
        <v>1010</v>
      </c>
      <c r="DV104" t="s">
        <v>184</v>
      </c>
      <c r="DW104" t="s">
        <v>184</v>
      </c>
      <c r="DX104">
        <v>1</v>
      </c>
      <c r="EE104">
        <v>44065436</v>
      </c>
      <c r="EF104">
        <v>200</v>
      </c>
      <c r="EG104" t="s">
        <v>45</v>
      </c>
      <c r="EH104">
        <v>0</v>
      </c>
      <c r="EI104" t="s">
        <v>6</v>
      </c>
      <c r="EJ104">
        <v>1</v>
      </c>
      <c r="EK104">
        <v>1617</v>
      </c>
      <c r="EL104" t="s">
        <v>46</v>
      </c>
      <c r="EM104" t="s">
        <v>47</v>
      </c>
      <c r="EO104" t="s">
        <v>6</v>
      </c>
      <c r="EQ104">
        <v>131072</v>
      </c>
      <c r="ER104">
        <v>31.27</v>
      </c>
      <c r="ES104">
        <v>31.27</v>
      </c>
      <c r="ET104">
        <v>0</v>
      </c>
      <c r="EU104">
        <v>0</v>
      </c>
      <c r="EV104">
        <v>0</v>
      </c>
      <c r="EW104">
        <v>0</v>
      </c>
      <c r="EX104">
        <v>0</v>
      </c>
      <c r="EY104">
        <v>0</v>
      </c>
      <c r="FQ104">
        <v>0</v>
      </c>
      <c r="FR104">
        <f>ROUND(IF(AND(BH104=3,BI104=3),P104,0),2)</f>
        <v>0</v>
      </c>
      <c r="FS104">
        <v>0</v>
      </c>
      <c r="FX104">
        <v>0</v>
      </c>
      <c r="FY104">
        <v>0</v>
      </c>
      <c r="GA104" t="s">
        <v>6</v>
      </c>
      <c r="GD104">
        <v>0</v>
      </c>
      <c r="GF104">
        <v>1309078788</v>
      </c>
      <c r="GG104">
        <v>2</v>
      </c>
      <c r="GH104">
        <v>1</v>
      </c>
      <c r="GI104">
        <v>2</v>
      </c>
      <c r="GJ104">
        <v>0</v>
      </c>
      <c r="GK104">
        <f>ROUND(R104*(R12)/100,2)</f>
        <v>0</v>
      </c>
      <c r="GL104">
        <f>ROUND(IF(AND(BH104=3,BI104=3,FS104&lt;&gt;0),P104,0),2)</f>
        <v>0</v>
      </c>
      <c r="GM104">
        <f>ROUND(O104+X104+Y104+GK104,2)+GX104</f>
        <v>1095.7</v>
      </c>
      <c r="GN104">
        <f>IF(OR(BI104=0,BI104=1),ROUND(O104+X104+Y104+GK104,2),0)</f>
        <v>1095.7</v>
      </c>
      <c r="GO104">
        <f>IF(BI104=2,ROUND(O104+X104+Y104+GK104,2),0)</f>
        <v>0</v>
      </c>
      <c r="GP104">
        <f>IF(BI104=4,ROUND(O104+X104+Y104+GK104,2)+GX104,0)</f>
        <v>0</v>
      </c>
      <c r="GR104">
        <v>0</v>
      </c>
      <c r="GS104">
        <v>0</v>
      </c>
      <c r="GT104">
        <v>0</v>
      </c>
      <c r="GU104" t="s">
        <v>6</v>
      </c>
      <c r="GV104">
        <f>ROUND((GT104),6)</f>
        <v>0</v>
      </c>
      <c r="GW104">
        <v>1</v>
      </c>
      <c r="GX104">
        <f>ROUND(HC104*I104,2)</f>
        <v>0</v>
      </c>
      <c r="HA104">
        <v>0</v>
      </c>
      <c r="HB104">
        <v>0</v>
      </c>
      <c r="HC104">
        <f>GV104*GW104</f>
        <v>0</v>
      </c>
      <c r="IK104">
        <v>0</v>
      </c>
    </row>
    <row r="106" spans="1:245" x14ac:dyDescent="0.2">
      <c r="A106" s="2">
        <v>51</v>
      </c>
      <c r="B106" s="2">
        <f>B99</f>
        <v>1</v>
      </c>
      <c r="C106" s="2">
        <f>A99</f>
        <v>5</v>
      </c>
      <c r="D106" s="2">
        <f>ROW(A99)</f>
        <v>99</v>
      </c>
      <c r="E106" s="2"/>
      <c r="F106" s="2" t="str">
        <f>IF(F99&lt;&gt;"",F99,"")</f>
        <v>Новый подраздел</v>
      </c>
      <c r="G106" s="2" t="str">
        <f>IF(G99&lt;&gt;"",G99,"")</f>
        <v>Монтажные рвботы</v>
      </c>
      <c r="H106" s="2">
        <v>0</v>
      </c>
      <c r="I106" s="2"/>
      <c r="J106" s="2"/>
      <c r="K106" s="2"/>
      <c r="L106" s="2"/>
      <c r="M106" s="2"/>
      <c r="N106" s="2"/>
      <c r="O106" s="2">
        <f t="shared" ref="O106:T106" si="185">ROUND(AB106,2)</f>
        <v>3227.8</v>
      </c>
      <c r="P106" s="2">
        <f t="shared" si="185"/>
        <v>2549.33</v>
      </c>
      <c r="Q106" s="2">
        <f t="shared" si="185"/>
        <v>0</v>
      </c>
      <c r="R106" s="2">
        <f t="shared" si="185"/>
        <v>0</v>
      </c>
      <c r="S106" s="2">
        <f t="shared" si="185"/>
        <v>678.47</v>
      </c>
      <c r="T106" s="2">
        <f t="shared" si="185"/>
        <v>0</v>
      </c>
      <c r="U106" s="2">
        <f>AH106</f>
        <v>2.5127999999999999</v>
      </c>
      <c r="V106" s="2">
        <f>AI106</f>
        <v>0</v>
      </c>
      <c r="W106" s="2">
        <f>ROUND(AJ106,2)</f>
        <v>0</v>
      </c>
      <c r="X106" s="2">
        <f>ROUND(AK106,2)</f>
        <v>610.62</v>
      </c>
      <c r="Y106" s="2">
        <f>ROUND(AL106,2)</f>
        <v>291.74</v>
      </c>
      <c r="Z106" s="2"/>
      <c r="AA106" s="2"/>
      <c r="AB106" s="2">
        <f>ROUND(SUMIF(AA103:AA104,"=44175489",O103:O104),2)</f>
        <v>3227.8</v>
      </c>
      <c r="AC106" s="2">
        <f>ROUND(SUMIF(AA103:AA104,"=44175489",P103:P104),2)</f>
        <v>2549.33</v>
      </c>
      <c r="AD106" s="2">
        <f>ROUND(SUMIF(AA103:AA104,"=44175489",Q103:Q104),2)</f>
        <v>0</v>
      </c>
      <c r="AE106" s="2">
        <f>ROUND(SUMIF(AA103:AA104,"=44175489",R103:R104),2)</f>
        <v>0</v>
      </c>
      <c r="AF106" s="2">
        <f>ROUND(SUMIF(AA103:AA104,"=44175489",S103:S104),2)</f>
        <v>678.47</v>
      </c>
      <c r="AG106" s="2">
        <f>ROUND(SUMIF(AA103:AA104,"=44175489",T103:T104),2)</f>
        <v>0</v>
      </c>
      <c r="AH106" s="2">
        <f>SUMIF(AA103:AA104,"=44175489",U103:U104)</f>
        <v>2.5127999999999999</v>
      </c>
      <c r="AI106" s="2">
        <f>SUMIF(AA103:AA104,"=44175489",V103:V104)</f>
        <v>0</v>
      </c>
      <c r="AJ106" s="2">
        <f>ROUND(SUMIF(AA103:AA104,"=44175489",W103:W104),2)</f>
        <v>0</v>
      </c>
      <c r="AK106" s="2">
        <f>ROUND(SUMIF(AA103:AA104,"=44175489",X103:X104),2)</f>
        <v>610.62</v>
      </c>
      <c r="AL106" s="2">
        <f>ROUND(SUMIF(AA103:AA104,"=44175489",Y103:Y104),2)</f>
        <v>291.74</v>
      </c>
      <c r="AM106" s="2"/>
      <c r="AN106" s="2"/>
      <c r="AO106" s="2">
        <f t="shared" ref="AO106:BD106" si="186">ROUND(BX106,2)</f>
        <v>0</v>
      </c>
      <c r="AP106" s="2">
        <f t="shared" si="186"/>
        <v>0</v>
      </c>
      <c r="AQ106" s="2">
        <f t="shared" si="186"/>
        <v>0</v>
      </c>
      <c r="AR106" s="2">
        <f t="shared" si="186"/>
        <v>4130.16</v>
      </c>
      <c r="AS106" s="2">
        <f t="shared" si="186"/>
        <v>1095.7</v>
      </c>
      <c r="AT106" s="2">
        <f t="shared" si="186"/>
        <v>3034.46</v>
      </c>
      <c r="AU106" s="2">
        <f t="shared" si="186"/>
        <v>0</v>
      </c>
      <c r="AV106" s="2">
        <f t="shared" si="186"/>
        <v>2549.33</v>
      </c>
      <c r="AW106" s="2">
        <f t="shared" si="186"/>
        <v>2549.33</v>
      </c>
      <c r="AX106" s="2">
        <f t="shared" si="186"/>
        <v>0</v>
      </c>
      <c r="AY106" s="2">
        <f t="shared" si="186"/>
        <v>2549.33</v>
      </c>
      <c r="AZ106" s="2">
        <f t="shared" si="186"/>
        <v>0</v>
      </c>
      <c r="BA106" s="2">
        <f t="shared" si="186"/>
        <v>0</v>
      </c>
      <c r="BB106" s="2">
        <f t="shared" si="186"/>
        <v>0</v>
      </c>
      <c r="BC106" s="2">
        <f t="shared" si="186"/>
        <v>0</v>
      </c>
      <c r="BD106" s="2">
        <f t="shared" si="186"/>
        <v>0</v>
      </c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>
        <f>ROUND(SUMIF(AA103:AA104,"=44175489",FQ103:FQ104),2)</f>
        <v>0</v>
      </c>
      <c r="BY106" s="2">
        <f>ROUND(SUMIF(AA103:AA104,"=44175489",FR103:FR104),2)</f>
        <v>0</v>
      </c>
      <c r="BZ106" s="2">
        <f>ROUND(SUMIF(AA103:AA104,"=44175489",GL103:GL104),2)</f>
        <v>0</v>
      </c>
      <c r="CA106" s="2">
        <f>ROUND(SUMIF(AA103:AA104,"=44175489",GM103:GM104),2)</f>
        <v>4130.16</v>
      </c>
      <c r="CB106" s="2">
        <f>ROUND(SUMIF(AA103:AA104,"=44175489",GN103:GN104),2)</f>
        <v>1095.7</v>
      </c>
      <c r="CC106" s="2">
        <f>ROUND(SUMIF(AA103:AA104,"=44175489",GO103:GO104),2)</f>
        <v>3034.46</v>
      </c>
      <c r="CD106" s="2">
        <f>ROUND(SUMIF(AA103:AA104,"=44175489",GP103:GP104),2)</f>
        <v>0</v>
      </c>
      <c r="CE106" s="2">
        <f>AC106-BX106</f>
        <v>2549.33</v>
      </c>
      <c r="CF106" s="2">
        <f>AC106-BY106</f>
        <v>2549.33</v>
      </c>
      <c r="CG106" s="2">
        <f>BX106-BZ106</f>
        <v>0</v>
      </c>
      <c r="CH106" s="2">
        <f>AC106-BX106-BY106+BZ106</f>
        <v>2549.33</v>
      </c>
      <c r="CI106" s="2">
        <f>BY106-BZ106</f>
        <v>0</v>
      </c>
      <c r="CJ106" s="2">
        <f>ROUND(SUMIF(AA103:AA104,"=44175489",GX103:GX104),2)</f>
        <v>0</v>
      </c>
      <c r="CK106" s="2">
        <f>ROUND(SUMIF(AA103:AA104,"=44175489",GY103:GY104),2)</f>
        <v>0</v>
      </c>
      <c r="CL106" s="2">
        <f>ROUND(SUMIF(AA103:AA104,"=44175489",GZ103:GZ104),2)</f>
        <v>0</v>
      </c>
      <c r="CM106" s="2">
        <f>ROUND(SUMIF(AA103:AA104,"=44175489",HD103:HD104),2)</f>
        <v>0</v>
      </c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>
        <v>0</v>
      </c>
    </row>
    <row r="108" spans="1:245" x14ac:dyDescent="0.2">
      <c r="A108" s="4">
        <v>50</v>
      </c>
      <c r="B108" s="4">
        <v>0</v>
      </c>
      <c r="C108" s="4">
        <v>0</v>
      </c>
      <c r="D108" s="4">
        <v>1</v>
      </c>
      <c r="E108" s="4">
        <v>201</v>
      </c>
      <c r="F108" s="4">
        <f>ROUND(Source!O106,O108)</f>
        <v>3227.8</v>
      </c>
      <c r="G108" s="4" t="s">
        <v>120</v>
      </c>
      <c r="H108" s="4" t="s">
        <v>121</v>
      </c>
      <c r="I108" s="4"/>
      <c r="J108" s="4"/>
      <c r="K108" s="4">
        <v>201</v>
      </c>
      <c r="L108" s="4">
        <v>1</v>
      </c>
      <c r="M108" s="4">
        <v>3</v>
      </c>
      <c r="N108" s="4" t="s">
        <v>6</v>
      </c>
      <c r="O108" s="4">
        <v>2</v>
      </c>
      <c r="P108" s="4"/>
      <c r="Q108" s="4"/>
      <c r="R108" s="4"/>
      <c r="S108" s="4"/>
      <c r="T108" s="4"/>
      <c r="U108" s="4"/>
      <c r="V108" s="4"/>
      <c r="W108" s="4"/>
    </row>
    <row r="109" spans="1:245" x14ac:dyDescent="0.2">
      <c r="A109" s="4">
        <v>50</v>
      </c>
      <c r="B109" s="4">
        <v>0</v>
      </c>
      <c r="C109" s="4">
        <v>0</v>
      </c>
      <c r="D109" s="4">
        <v>1</v>
      </c>
      <c r="E109" s="4">
        <v>202</v>
      </c>
      <c r="F109" s="4">
        <f>ROUND(Source!P106,O109)</f>
        <v>2549.33</v>
      </c>
      <c r="G109" s="4" t="s">
        <v>122</v>
      </c>
      <c r="H109" s="4" t="s">
        <v>123</v>
      </c>
      <c r="I109" s="4"/>
      <c r="J109" s="4"/>
      <c r="K109" s="4">
        <v>202</v>
      </c>
      <c r="L109" s="4">
        <v>2</v>
      </c>
      <c r="M109" s="4">
        <v>3</v>
      </c>
      <c r="N109" s="4" t="s">
        <v>6</v>
      </c>
      <c r="O109" s="4">
        <v>2</v>
      </c>
      <c r="P109" s="4"/>
      <c r="Q109" s="4"/>
      <c r="R109" s="4"/>
      <c r="S109" s="4"/>
      <c r="T109" s="4"/>
      <c r="U109" s="4"/>
      <c r="V109" s="4"/>
      <c r="W109" s="4"/>
    </row>
    <row r="110" spans="1:245" x14ac:dyDescent="0.2">
      <c r="A110" s="4">
        <v>50</v>
      </c>
      <c r="B110" s="4">
        <v>0</v>
      </c>
      <c r="C110" s="4">
        <v>0</v>
      </c>
      <c r="D110" s="4">
        <v>1</v>
      </c>
      <c r="E110" s="4">
        <v>222</v>
      </c>
      <c r="F110" s="4">
        <f>ROUND(Source!AO106,O110)</f>
        <v>0</v>
      </c>
      <c r="G110" s="4" t="s">
        <v>124</v>
      </c>
      <c r="H110" s="4" t="s">
        <v>125</v>
      </c>
      <c r="I110" s="4"/>
      <c r="J110" s="4"/>
      <c r="K110" s="4">
        <v>222</v>
      </c>
      <c r="L110" s="4">
        <v>3</v>
      </c>
      <c r="M110" s="4">
        <v>3</v>
      </c>
      <c r="N110" s="4" t="s">
        <v>6</v>
      </c>
      <c r="O110" s="4">
        <v>2</v>
      </c>
      <c r="P110" s="4"/>
      <c r="Q110" s="4"/>
      <c r="R110" s="4"/>
      <c r="S110" s="4"/>
      <c r="T110" s="4"/>
      <c r="U110" s="4"/>
      <c r="V110" s="4"/>
      <c r="W110" s="4"/>
    </row>
    <row r="111" spans="1:245" x14ac:dyDescent="0.2">
      <c r="A111" s="4">
        <v>50</v>
      </c>
      <c r="B111" s="4">
        <v>0</v>
      </c>
      <c r="C111" s="4">
        <v>0</v>
      </c>
      <c r="D111" s="4">
        <v>1</v>
      </c>
      <c r="E111" s="4">
        <v>225</v>
      </c>
      <c r="F111" s="4">
        <f>ROUND(Source!AV106,O111)</f>
        <v>2549.33</v>
      </c>
      <c r="G111" s="4" t="s">
        <v>126</v>
      </c>
      <c r="H111" s="4" t="s">
        <v>127</v>
      </c>
      <c r="I111" s="4"/>
      <c r="J111" s="4"/>
      <c r="K111" s="4">
        <v>225</v>
      </c>
      <c r="L111" s="4">
        <v>4</v>
      </c>
      <c r="M111" s="4">
        <v>3</v>
      </c>
      <c r="N111" s="4" t="s">
        <v>6</v>
      </c>
      <c r="O111" s="4">
        <v>2</v>
      </c>
      <c r="P111" s="4"/>
      <c r="Q111" s="4"/>
      <c r="R111" s="4"/>
      <c r="S111" s="4"/>
      <c r="T111" s="4"/>
      <c r="U111" s="4"/>
      <c r="V111" s="4"/>
      <c r="W111" s="4"/>
    </row>
    <row r="112" spans="1:245" x14ac:dyDescent="0.2">
      <c r="A112" s="4">
        <v>50</v>
      </c>
      <c r="B112" s="4">
        <v>0</v>
      </c>
      <c r="C112" s="4">
        <v>0</v>
      </c>
      <c r="D112" s="4">
        <v>1</v>
      </c>
      <c r="E112" s="4">
        <v>226</v>
      </c>
      <c r="F112" s="4">
        <f>ROUND(Source!AW106,O112)</f>
        <v>2549.33</v>
      </c>
      <c r="G112" s="4" t="s">
        <v>128</v>
      </c>
      <c r="H112" s="4" t="s">
        <v>129</v>
      </c>
      <c r="I112" s="4"/>
      <c r="J112" s="4"/>
      <c r="K112" s="4">
        <v>226</v>
      </c>
      <c r="L112" s="4">
        <v>5</v>
      </c>
      <c r="M112" s="4">
        <v>3</v>
      </c>
      <c r="N112" s="4" t="s">
        <v>6</v>
      </c>
      <c r="O112" s="4">
        <v>2</v>
      </c>
      <c r="P112" s="4"/>
      <c r="Q112" s="4"/>
      <c r="R112" s="4"/>
      <c r="S112" s="4"/>
      <c r="T112" s="4"/>
      <c r="U112" s="4"/>
      <c r="V112" s="4"/>
      <c r="W112" s="4"/>
    </row>
    <row r="113" spans="1:23" x14ac:dyDescent="0.2">
      <c r="A113" s="4">
        <v>50</v>
      </c>
      <c r="B113" s="4">
        <v>0</v>
      </c>
      <c r="C113" s="4">
        <v>0</v>
      </c>
      <c r="D113" s="4">
        <v>1</v>
      </c>
      <c r="E113" s="4">
        <v>227</v>
      </c>
      <c r="F113" s="4">
        <f>ROUND(Source!AX106,O113)</f>
        <v>0</v>
      </c>
      <c r="G113" s="4" t="s">
        <v>130</v>
      </c>
      <c r="H113" s="4" t="s">
        <v>131</v>
      </c>
      <c r="I113" s="4"/>
      <c r="J113" s="4"/>
      <c r="K113" s="4">
        <v>227</v>
      </c>
      <c r="L113" s="4">
        <v>6</v>
      </c>
      <c r="M113" s="4">
        <v>3</v>
      </c>
      <c r="N113" s="4" t="s">
        <v>6</v>
      </c>
      <c r="O113" s="4">
        <v>2</v>
      </c>
      <c r="P113" s="4"/>
      <c r="Q113" s="4"/>
      <c r="R113" s="4"/>
      <c r="S113" s="4"/>
      <c r="T113" s="4"/>
      <c r="U113" s="4"/>
      <c r="V113" s="4"/>
      <c r="W113" s="4"/>
    </row>
    <row r="114" spans="1:23" x14ac:dyDescent="0.2">
      <c r="A114" s="4">
        <v>50</v>
      </c>
      <c r="B114" s="4">
        <v>0</v>
      </c>
      <c r="C114" s="4">
        <v>0</v>
      </c>
      <c r="D114" s="4">
        <v>1</v>
      </c>
      <c r="E114" s="4">
        <v>228</v>
      </c>
      <c r="F114" s="4">
        <f>ROUND(Source!AY106,O114)</f>
        <v>2549.33</v>
      </c>
      <c r="G114" s="4" t="s">
        <v>132</v>
      </c>
      <c r="H114" s="4" t="s">
        <v>133</v>
      </c>
      <c r="I114" s="4"/>
      <c r="J114" s="4"/>
      <c r="K114" s="4">
        <v>228</v>
      </c>
      <c r="L114" s="4">
        <v>7</v>
      </c>
      <c r="M114" s="4">
        <v>3</v>
      </c>
      <c r="N114" s="4" t="s">
        <v>6</v>
      </c>
      <c r="O114" s="4">
        <v>2</v>
      </c>
      <c r="P114" s="4"/>
      <c r="Q114" s="4"/>
      <c r="R114" s="4"/>
      <c r="S114" s="4"/>
      <c r="T114" s="4"/>
      <c r="U114" s="4"/>
      <c r="V114" s="4"/>
      <c r="W114" s="4"/>
    </row>
    <row r="115" spans="1:23" x14ac:dyDescent="0.2">
      <c r="A115" s="4">
        <v>50</v>
      </c>
      <c r="B115" s="4">
        <v>0</v>
      </c>
      <c r="C115" s="4">
        <v>0</v>
      </c>
      <c r="D115" s="4">
        <v>1</v>
      </c>
      <c r="E115" s="4">
        <v>216</v>
      </c>
      <c r="F115" s="4">
        <f>ROUND(Source!AP106,O115)</f>
        <v>0</v>
      </c>
      <c r="G115" s="4" t="s">
        <v>134</v>
      </c>
      <c r="H115" s="4" t="s">
        <v>135</v>
      </c>
      <c r="I115" s="4"/>
      <c r="J115" s="4"/>
      <c r="K115" s="4">
        <v>216</v>
      </c>
      <c r="L115" s="4">
        <v>8</v>
      </c>
      <c r="M115" s="4">
        <v>3</v>
      </c>
      <c r="N115" s="4" t="s">
        <v>6</v>
      </c>
      <c r="O115" s="4">
        <v>2</v>
      </c>
      <c r="P115" s="4"/>
      <c r="Q115" s="4"/>
      <c r="R115" s="4"/>
      <c r="S115" s="4"/>
      <c r="T115" s="4"/>
      <c r="U115" s="4"/>
      <c r="V115" s="4"/>
      <c r="W115" s="4"/>
    </row>
    <row r="116" spans="1:23" x14ac:dyDescent="0.2">
      <c r="A116" s="4">
        <v>50</v>
      </c>
      <c r="B116" s="4">
        <v>0</v>
      </c>
      <c r="C116" s="4">
        <v>0</v>
      </c>
      <c r="D116" s="4">
        <v>1</v>
      </c>
      <c r="E116" s="4">
        <v>223</v>
      </c>
      <c r="F116" s="4">
        <f>ROUND(Source!AQ106,O116)</f>
        <v>0</v>
      </c>
      <c r="G116" s="4" t="s">
        <v>136</v>
      </c>
      <c r="H116" s="4" t="s">
        <v>137</v>
      </c>
      <c r="I116" s="4"/>
      <c r="J116" s="4"/>
      <c r="K116" s="4">
        <v>223</v>
      </c>
      <c r="L116" s="4">
        <v>9</v>
      </c>
      <c r="M116" s="4">
        <v>3</v>
      </c>
      <c r="N116" s="4" t="s">
        <v>6</v>
      </c>
      <c r="O116" s="4">
        <v>2</v>
      </c>
      <c r="P116" s="4"/>
      <c r="Q116" s="4"/>
      <c r="R116" s="4"/>
      <c r="S116" s="4"/>
      <c r="T116" s="4"/>
      <c r="U116" s="4"/>
      <c r="V116" s="4"/>
      <c r="W116" s="4"/>
    </row>
    <row r="117" spans="1:23" x14ac:dyDescent="0.2">
      <c r="A117" s="4">
        <v>50</v>
      </c>
      <c r="B117" s="4">
        <v>0</v>
      </c>
      <c r="C117" s="4">
        <v>0</v>
      </c>
      <c r="D117" s="4">
        <v>1</v>
      </c>
      <c r="E117" s="4">
        <v>229</v>
      </c>
      <c r="F117" s="4">
        <f>ROUND(Source!AZ106,O117)</f>
        <v>0</v>
      </c>
      <c r="G117" s="4" t="s">
        <v>138</v>
      </c>
      <c r="H117" s="4" t="s">
        <v>139</v>
      </c>
      <c r="I117" s="4"/>
      <c r="J117" s="4"/>
      <c r="K117" s="4">
        <v>229</v>
      </c>
      <c r="L117" s="4">
        <v>10</v>
      </c>
      <c r="M117" s="4">
        <v>3</v>
      </c>
      <c r="N117" s="4" t="s">
        <v>6</v>
      </c>
      <c r="O117" s="4">
        <v>2</v>
      </c>
      <c r="P117" s="4"/>
      <c r="Q117" s="4"/>
      <c r="R117" s="4"/>
      <c r="S117" s="4"/>
      <c r="T117" s="4"/>
      <c r="U117" s="4"/>
      <c r="V117" s="4"/>
      <c r="W117" s="4"/>
    </row>
    <row r="118" spans="1:23" x14ac:dyDescent="0.2">
      <c r="A118" s="4">
        <v>50</v>
      </c>
      <c r="B118" s="4">
        <v>0</v>
      </c>
      <c r="C118" s="4">
        <v>0</v>
      </c>
      <c r="D118" s="4">
        <v>1</v>
      </c>
      <c r="E118" s="4">
        <v>203</v>
      </c>
      <c r="F118" s="4">
        <f>ROUND(Source!Q106,O118)</f>
        <v>0</v>
      </c>
      <c r="G118" s="4" t="s">
        <v>140</v>
      </c>
      <c r="H118" s="4" t="s">
        <v>141</v>
      </c>
      <c r="I118" s="4"/>
      <c r="J118" s="4"/>
      <c r="K118" s="4">
        <v>203</v>
      </c>
      <c r="L118" s="4">
        <v>11</v>
      </c>
      <c r="M118" s="4">
        <v>3</v>
      </c>
      <c r="N118" s="4" t="s">
        <v>6</v>
      </c>
      <c r="O118" s="4">
        <v>2</v>
      </c>
      <c r="P118" s="4"/>
      <c r="Q118" s="4"/>
      <c r="R118" s="4"/>
      <c r="S118" s="4"/>
      <c r="T118" s="4"/>
      <c r="U118" s="4"/>
      <c r="V118" s="4"/>
      <c r="W118" s="4"/>
    </row>
    <row r="119" spans="1:23" x14ac:dyDescent="0.2">
      <c r="A119" s="4">
        <v>50</v>
      </c>
      <c r="B119" s="4">
        <v>0</v>
      </c>
      <c r="C119" s="4">
        <v>0</v>
      </c>
      <c r="D119" s="4">
        <v>1</v>
      </c>
      <c r="E119" s="4">
        <v>231</v>
      </c>
      <c r="F119" s="4">
        <f>ROUND(Source!BB106,O119)</f>
        <v>0</v>
      </c>
      <c r="G119" s="4" t="s">
        <v>142</v>
      </c>
      <c r="H119" s="4" t="s">
        <v>143</v>
      </c>
      <c r="I119" s="4"/>
      <c r="J119" s="4"/>
      <c r="K119" s="4">
        <v>231</v>
      </c>
      <c r="L119" s="4">
        <v>12</v>
      </c>
      <c r="M119" s="4">
        <v>3</v>
      </c>
      <c r="N119" s="4" t="s">
        <v>6</v>
      </c>
      <c r="O119" s="4">
        <v>2</v>
      </c>
      <c r="P119" s="4"/>
      <c r="Q119" s="4"/>
      <c r="R119" s="4"/>
      <c r="S119" s="4"/>
      <c r="T119" s="4"/>
      <c r="U119" s="4"/>
      <c r="V119" s="4"/>
      <c r="W119" s="4"/>
    </row>
    <row r="120" spans="1:23" x14ac:dyDescent="0.2">
      <c r="A120" s="4">
        <v>50</v>
      </c>
      <c r="B120" s="4">
        <v>0</v>
      </c>
      <c r="C120" s="4">
        <v>0</v>
      </c>
      <c r="D120" s="4">
        <v>1</v>
      </c>
      <c r="E120" s="4">
        <v>204</v>
      </c>
      <c r="F120" s="4">
        <f>ROUND(Source!R106,O120)</f>
        <v>0</v>
      </c>
      <c r="G120" s="4" t="s">
        <v>144</v>
      </c>
      <c r="H120" s="4" t="s">
        <v>145</v>
      </c>
      <c r="I120" s="4"/>
      <c r="J120" s="4"/>
      <c r="K120" s="4">
        <v>204</v>
      </c>
      <c r="L120" s="4">
        <v>13</v>
      </c>
      <c r="M120" s="4">
        <v>3</v>
      </c>
      <c r="N120" s="4" t="s">
        <v>6</v>
      </c>
      <c r="O120" s="4">
        <v>2</v>
      </c>
      <c r="P120" s="4"/>
      <c r="Q120" s="4"/>
      <c r="R120" s="4"/>
      <c r="S120" s="4"/>
      <c r="T120" s="4"/>
      <c r="U120" s="4"/>
      <c r="V120" s="4"/>
      <c r="W120" s="4"/>
    </row>
    <row r="121" spans="1:23" x14ac:dyDescent="0.2">
      <c r="A121" s="4">
        <v>50</v>
      </c>
      <c r="B121" s="4">
        <v>0</v>
      </c>
      <c r="C121" s="4">
        <v>0</v>
      </c>
      <c r="D121" s="4">
        <v>1</v>
      </c>
      <c r="E121" s="4">
        <v>205</v>
      </c>
      <c r="F121" s="4">
        <f>ROUND(Source!S106,O121)</f>
        <v>678.47</v>
      </c>
      <c r="G121" s="4" t="s">
        <v>146</v>
      </c>
      <c r="H121" s="4" t="s">
        <v>147</v>
      </c>
      <c r="I121" s="4"/>
      <c r="J121" s="4"/>
      <c r="K121" s="4">
        <v>205</v>
      </c>
      <c r="L121" s="4">
        <v>14</v>
      </c>
      <c r="M121" s="4">
        <v>3</v>
      </c>
      <c r="N121" s="4" t="s">
        <v>6</v>
      </c>
      <c r="O121" s="4">
        <v>2</v>
      </c>
      <c r="P121" s="4"/>
      <c r="Q121" s="4"/>
      <c r="R121" s="4"/>
      <c r="S121" s="4"/>
      <c r="T121" s="4"/>
      <c r="U121" s="4"/>
      <c r="V121" s="4"/>
      <c r="W121" s="4"/>
    </row>
    <row r="122" spans="1:23" x14ac:dyDescent="0.2">
      <c r="A122" s="4">
        <v>50</v>
      </c>
      <c r="B122" s="4">
        <v>0</v>
      </c>
      <c r="C122" s="4">
        <v>0</v>
      </c>
      <c r="D122" s="4">
        <v>1</v>
      </c>
      <c r="E122" s="4">
        <v>232</v>
      </c>
      <c r="F122" s="4">
        <f>ROUND(Source!BC106,O122)</f>
        <v>0</v>
      </c>
      <c r="G122" s="4" t="s">
        <v>148</v>
      </c>
      <c r="H122" s="4" t="s">
        <v>149</v>
      </c>
      <c r="I122" s="4"/>
      <c r="J122" s="4"/>
      <c r="K122" s="4">
        <v>232</v>
      </c>
      <c r="L122" s="4">
        <v>15</v>
      </c>
      <c r="M122" s="4">
        <v>3</v>
      </c>
      <c r="N122" s="4" t="s">
        <v>6</v>
      </c>
      <c r="O122" s="4">
        <v>2</v>
      </c>
      <c r="P122" s="4"/>
      <c r="Q122" s="4"/>
      <c r="R122" s="4"/>
      <c r="S122" s="4"/>
      <c r="T122" s="4"/>
      <c r="U122" s="4"/>
      <c r="V122" s="4"/>
      <c r="W122" s="4"/>
    </row>
    <row r="123" spans="1:23" x14ac:dyDescent="0.2">
      <c r="A123" s="4">
        <v>50</v>
      </c>
      <c r="B123" s="4">
        <v>0</v>
      </c>
      <c r="C123" s="4">
        <v>0</v>
      </c>
      <c r="D123" s="4">
        <v>1</v>
      </c>
      <c r="E123" s="4">
        <v>214</v>
      </c>
      <c r="F123" s="4">
        <f>ROUND(Source!AS106,O123)</f>
        <v>1095.7</v>
      </c>
      <c r="G123" s="4" t="s">
        <v>150</v>
      </c>
      <c r="H123" s="4" t="s">
        <v>151</v>
      </c>
      <c r="I123" s="4"/>
      <c r="J123" s="4"/>
      <c r="K123" s="4">
        <v>214</v>
      </c>
      <c r="L123" s="4">
        <v>16</v>
      </c>
      <c r="M123" s="4">
        <v>3</v>
      </c>
      <c r="N123" s="4" t="s">
        <v>6</v>
      </c>
      <c r="O123" s="4">
        <v>2</v>
      </c>
      <c r="P123" s="4"/>
      <c r="Q123" s="4"/>
      <c r="R123" s="4"/>
      <c r="S123" s="4"/>
      <c r="T123" s="4"/>
      <c r="U123" s="4"/>
      <c r="V123" s="4"/>
      <c r="W123" s="4"/>
    </row>
    <row r="124" spans="1:23" x14ac:dyDescent="0.2">
      <c r="A124" s="4">
        <v>50</v>
      </c>
      <c r="B124" s="4">
        <v>0</v>
      </c>
      <c r="C124" s="4">
        <v>0</v>
      </c>
      <c r="D124" s="4">
        <v>1</v>
      </c>
      <c r="E124" s="4">
        <v>215</v>
      </c>
      <c r="F124" s="4">
        <f>ROUND(Source!AT106,O124)</f>
        <v>3034.46</v>
      </c>
      <c r="G124" s="4" t="s">
        <v>152</v>
      </c>
      <c r="H124" s="4" t="s">
        <v>153</v>
      </c>
      <c r="I124" s="4"/>
      <c r="J124" s="4"/>
      <c r="K124" s="4">
        <v>215</v>
      </c>
      <c r="L124" s="4">
        <v>17</v>
      </c>
      <c r="M124" s="4">
        <v>3</v>
      </c>
      <c r="N124" s="4" t="s">
        <v>6</v>
      </c>
      <c r="O124" s="4">
        <v>2</v>
      </c>
      <c r="P124" s="4"/>
      <c r="Q124" s="4"/>
      <c r="R124" s="4"/>
      <c r="S124" s="4"/>
      <c r="T124" s="4"/>
      <c r="U124" s="4"/>
      <c r="V124" s="4"/>
      <c r="W124" s="4"/>
    </row>
    <row r="125" spans="1:23" x14ac:dyDescent="0.2">
      <c r="A125" s="4">
        <v>50</v>
      </c>
      <c r="B125" s="4">
        <v>0</v>
      </c>
      <c r="C125" s="4">
        <v>0</v>
      </c>
      <c r="D125" s="4">
        <v>1</v>
      </c>
      <c r="E125" s="4">
        <v>217</v>
      </c>
      <c r="F125" s="4">
        <f>ROUND(Source!AU106,O125)</f>
        <v>0</v>
      </c>
      <c r="G125" s="4" t="s">
        <v>154</v>
      </c>
      <c r="H125" s="4" t="s">
        <v>155</v>
      </c>
      <c r="I125" s="4"/>
      <c r="J125" s="4"/>
      <c r="K125" s="4">
        <v>217</v>
      </c>
      <c r="L125" s="4">
        <v>18</v>
      </c>
      <c r="M125" s="4">
        <v>3</v>
      </c>
      <c r="N125" s="4" t="s">
        <v>6</v>
      </c>
      <c r="O125" s="4">
        <v>2</v>
      </c>
      <c r="P125" s="4"/>
      <c r="Q125" s="4"/>
      <c r="R125" s="4"/>
      <c r="S125" s="4"/>
      <c r="T125" s="4"/>
      <c r="U125" s="4"/>
      <c r="V125" s="4"/>
      <c r="W125" s="4"/>
    </row>
    <row r="126" spans="1:23" x14ac:dyDescent="0.2">
      <c r="A126" s="4">
        <v>50</v>
      </c>
      <c r="B126" s="4">
        <v>0</v>
      </c>
      <c r="C126" s="4">
        <v>0</v>
      </c>
      <c r="D126" s="4">
        <v>1</v>
      </c>
      <c r="E126" s="4">
        <v>230</v>
      </c>
      <c r="F126" s="4">
        <f>ROUND(Source!BA106,O126)</f>
        <v>0</v>
      </c>
      <c r="G126" s="4" t="s">
        <v>156</v>
      </c>
      <c r="H126" s="4" t="s">
        <v>157</v>
      </c>
      <c r="I126" s="4"/>
      <c r="J126" s="4"/>
      <c r="K126" s="4">
        <v>230</v>
      </c>
      <c r="L126" s="4">
        <v>19</v>
      </c>
      <c r="M126" s="4">
        <v>3</v>
      </c>
      <c r="N126" s="4" t="s">
        <v>6</v>
      </c>
      <c r="O126" s="4">
        <v>2</v>
      </c>
      <c r="P126" s="4"/>
      <c r="Q126" s="4"/>
      <c r="R126" s="4"/>
      <c r="S126" s="4"/>
      <c r="T126" s="4"/>
      <c r="U126" s="4"/>
      <c r="V126" s="4"/>
      <c r="W126" s="4"/>
    </row>
    <row r="127" spans="1:23" x14ac:dyDescent="0.2">
      <c r="A127" s="4">
        <v>50</v>
      </c>
      <c r="B127" s="4">
        <v>0</v>
      </c>
      <c r="C127" s="4">
        <v>0</v>
      </c>
      <c r="D127" s="4">
        <v>1</v>
      </c>
      <c r="E127" s="4">
        <v>206</v>
      </c>
      <c r="F127" s="4">
        <f>ROUND(Source!T106,O127)</f>
        <v>0</v>
      </c>
      <c r="G127" s="4" t="s">
        <v>158</v>
      </c>
      <c r="H127" s="4" t="s">
        <v>159</v>
      </c>
      <c r="I127" s="4"/>
      <c r="J127" s="4"/>
      <c r="K127" s="4">
        <v>206</v>
      </c>
      <c r="L127" s="4">
        <v>20</v>
      </c>
      <c r="M127" s="4">
        <v>3</v>
      </c>
      <c r="N127" s="4" t="s">
        <v>6</v>
      </c>
      <c r="O127" s="4">
        <v>2</v>
      </c>
      <c r="P127" s="4"/>
      <c r="Q127" s="4"/>
      <c r="R127" s="4"/>
      <c r="S127" s="4"/>
      <c r="T127" s="4"/>
      <c r="U127" s="4"/>
      <c r="V127" s="4"/>
      <c r="W127" s="4"/>
    </row>
    <row r="128" spans="1:23" x14ac:dyDescent="0.2">
      <c r="A128" s="4">
        <v>50</v>
      </c>
      <c r="B128" s="4">
        <v>0</v>
      </c>
      <c r="C128" s="4">
        <v>0</v>
      </c>
      <c r="D128" s="4">
        <v>1</v>
      </c>
      <c r="E128" s="4">
        <v>207</v>
      </c>
      <c r="F128" s="4">
        <f>Source!U106</f>
        <v>2.5127999999999999</v>
      </c>
      <c r="G128" s="4" t="s">
        <v>160</v>
      </c>
      <c r="H128" s="4" t="s">
        <v>161</v>
      </c>
      <c r="I128" s="4"/>
      <c r="J128" s="4"/>
      <c r="K128" s="4">
        <v>207</v>
      </c>
      <c r="L128" s="4">
        <v>21</v>
      </c>
      <c r="M128" s="4">
        <v>3</v>
      </c>
      <c r="N128" s="4" t="s">
        <v>6</v>
      </c>
      <c r="O128" s="4">
        <v>-1</v>
      </c>
      <c r="P128" s="4"/>
      <c r="Q128" s="4"/>
      <c r="R128" s="4"/>
      <c r="S128" s="4"/>
      <c r="T128" s="4"/>
      <c r="U128" s="4"/>
      <c r="V128" s="4"/>
      <c r="W128" s="4"/>
    </row>
    <row r="129" spans="1:245" x14ac:dyDescent="0.2">
      <c r="A129" s="4">
        <v>50</v>
      </c>
      <c r="B129" s="4">
        <v>0</v>
      </c>
      <c r="C129" s="4">
        <v>0</v>
      </c>
      <c r="D129" s="4">
        <v>1</v>
      </c>
      <c r="E129" s="4">
        <v>208</v>
      </c>
      <c r="F129" s="4">
        <f>Source!V106</f>
        <v>0</v>
      </c>
      <c r="G129" s="4" t="s">
        <v>162</v>
      </c>
      <c r="H129" s="4" t="s">
        <v>163</v>
      </c>
      <c r="I129" s="4"/>
      <c r="J129" s="4"/>
      <c r="K129" s="4">
        <v>208</v>
      </c>
      <c r="L129" s="4">
        <v>22</v>
      </c>
      <c r="M129" s="4">
        <v>3</v>
      </c>
      <c r="N129" s="4" t="s">
        <v>6</v>
      </c>
      <c r="O129" s="4">
        <v>-1</v>
      </c>
      <c r="P129" s="4"/>
      <c r="Q129" s="4"/>
      <c r="R129" s="4"/>
      <c r="S129" s="4"/>
      <c r="T129" s="4"/>
      <c r="U129" s="4"/>
      <c r="V129" s="4"/>
      <c r="W129" s="4"/>
    </row>
    <row r="130" spans="1:245" x14ac:dyDescent="0.2">
      <c r="A130" s="4">
        <v>50</v>
      </c>
      <c r="B130" s="4">
        <v>0</v>
      </c>
      <c r="C130" s="4">
        <v>0</v>
      </c>
      <c r="D130" s="4">
        <v>1</v>
      </c>
      <c r="E130" s="4">
        <v>209</v>
      </c>
      <c r="F130" s="4">
        <f>ROUND(Source!W106,O130)</f>
        <v>0</v>
      </c>
      <c r="G130" s="4" t="s">
        <v>164</v>
      </c>
      <c r="H130" s="4" t="s">
        <v>165</v>
      </c>
      <c r="I130" s="4"/>
      <c r="J130" s="4"/>
      <c r="K130" s="4">
        <v>209</v>
      </c>
      <c r="L130" s="4">
        <v>23</v>
      </c>
      <c r="M130" s="4">
        <v>3</v>
      </c>
      <c r="N130" s="4" t="s">
        <v>6</v>
      </c>
      <c r="O130" s="4">
        <v>2</v>
      </c>
      <c r="P130" s="4"/>
      <c r="Q130" s="4"/>
      <c r="R130" s="4"/>
      <c r="S130" s="4"/>
      <c r="T130" s="4"/>
      <c r="U130" s="4"/>
      <c r="V130" s="4"/>
      <c r="W130" s="4"/>
    </row>
    <row r="131" spans="1:245" x14ac:dyDescent="0.2">
      <c r="A131" s="4">
        <v>50</v>
      </c>
      <c r="B131" s="4">
        <v>0</v>
      </c>
      <c r="C131" s="4">
        <v>0</v>
      </c>
      <c r="D131" s="4">
        <v>1</v>
      </c>
      <c r="E131" s="4">
        <v>233</v>
      </c>
      <c r="F131" s="4">
        <f>ROUND(Source!BD106,O131)</f>
        <v>0</v>
      </c>
      <c r="G131" s="4" t="s">
        <v>166</v>
      </c>
      <c r="H131" s="4" t="s">
        <v>167</v>
      </c>
      <c r="I131" s="4"/>
      <c r="J131" s="4"/>
      <c r="K131" s="4">
        <v>233</v>
      </c>
      <c r="L131" s="4">
        <v>24</v>
      </c>
      <c r="M131" s="4">
        <v>3</v>
      </c>
      <c r="N131" s="4" t="s">
        <v>6</v>
      </c>
      <c r="O131" s="4">
        <v>2</v>
      </c>
      <c r="P131" s="4"/>
      <c r="Q131" s="4"/>
      <c r="R131" s="4"/>
      <c r="S131" s="4"/>
      <c r="T131" s="4"/>
      <c r="U131" s="4"/>
      <c r="V131" s="4"/>
      <c r="W131" s="4"/>
    </row>
    <row r="132" spans="1:245" x14ac:dyDescent="0.2">
      <c r="A132" s="4">
        <v>50</v>
      </c>
      <c r="B132" s="4">
        <v>0</v>
      </c>
      <c r="C132" s="4">
        <v>0</v>
      </c>
      <c r="D132" s="4">
        <v>1</v>
      </c>
      <c r="E132" s="4">
        <v>210</v>
      </c>
      <c r="F132" s="4">
        <f>ROUND(Source!X106,O132)</f>
        <v>610.62</v>
      </c>
      <c r="G132" s="4" t="s">
        <v>168</v>
      </c>
      <c r="H132" s="4" t="s">
        <v>169</v>
      </c>
      <c r="I132" s="4"/>
      <c r="J132" s="4"/>
      <c r="K132" s="4">
        <v>210</v>
      </c>
      <c r="L132" s="4">
        <v>25</v>
      </c>
      <c r="M132" s="4">
        <v>3</v>
      </c>
      <c r="N132" s="4" t="s">
        <v>6</v>
      </c>
      <c r="O132" s="4">
        <v>2</v>
      </c>
      <c r="P132" s="4"/>
      <c r="Q132" s="4"/>
      <c r="R132" s="4"/>
      <c r="S132" s="4"/>
      <c r="T132" s="4"/>
      <c r="U132" s="4"/>
      <c r="V132" s="4"/>
      <c r="W132" s="4"/>
    </row>
    <row r="133" spans="1:245" x14ac:dyDescent="0.2">
      <c r="A133" s="4">
        <v>50</v>
      </c>
      <c r="B133" s="4">
        <v>0</v>
      </c>
      <c r="C133" s="4">
        <v>0</v>
      </c>
      <c r="D133" s="4">
        <v>1</v>
      </c>
      <c r="E133" s="4">
        <v>211</v>
      </c>
      <c r="F133" s="4">
        <f>ROUND(Source!Y106,O133)</f>
        <v>291.74</v>
      </c>
      <c r="G133" s="4" t="s">
        <v>170</v>
      </c>
      <c r="H133" s="4" t="s">
        <v>171</v>
      </c>
      <c r="I133" s="4"/>
      <c r="J133" s="4"/>
      <c r="K133" s="4">
        <v>211</v>
      </c>
      <c r="L133" s="4">
        <v>26</v>
      </c>
      <c r="M133" s="4">
        <v>3</v>
      </c>
      <c r="N133" s="4" t="s">
        <v>6</v>
      </c>
      <c r="O133" s="4">
        <v>2</v>
      </c>
      <c r="P133" s="4"/>
      <c r="Q133" s="4"/>
      <c r="R133" s="4"/>
      <c r="S133" s="4"/>
      <c r="T133" s="4"/>
      <c r="U133" s="4"/>
      <c r="V133" s="4"/>
      <c r="W133" s="4"/>
    </row>
    <row r="134" spans="1:245" x14ac:dyDescent="0.2">
      <c r="A134" s="4">
        <v>50</v>
      </c>
      <c r="B134" s="4">
        <v>0</v>
      </c>
      <c r="C134" s="4">
        <v>0</v>
      </c>
      <c r="D134" s="4">
        <v>1</v>
      </c>
      <c r="E134" s="4">
        <v>224</v>
      </c>
      <c r="F134" s="4">
        <f>ROUND(Source!AR106,O134)</f>
        <v>4130.16</v>
      </c>
      <c r="G134" s="4" t="s">
        <v>172</v>
      </c>
      <c r="H134" s="4" t="s">
        <v>173</v>
      </c>
      <c r="I134" s="4"/>
      <c r="J134" s="4"/>
      <c r="K134" s="4">
        <v>224</v>
      </c>
      <c r="L134" s="4">
        <v>27</v>
      </c>
      <c r="M134" s="4">
        <v>3</v>
      </c>
      <c r="N134" s="4" t="s">
        <v>6</v>
      </c>
      <c r="O134" s="4">
        <v>2</v>
      </c>
      <c r="P134" s="4"/>
      <c r="Q134" s="4"/>
      <c r="R134" s="4"/>
      <c r="S134" s="4"/>
      <c r="T134" s="4"/>
      <c r="U134" s="4"/>
      <c r="V134" s="4"/>
      <c r="W134" s="4"/>
    </row>
    <row r="136" spans="1:245" x14ac:dyDescent="0.2">
      <c r="A136" s="1">
        <v>5</v>
      </c>
      <c r="B136" s="1">
        <v>1</v>
      </c>
      <c r="C136" s="1"/>
      <c r="D136" s="1">
        <f>ROW(A143)</f>
        <v>143</v>
      </c>
      <c r="E136" s="1"/>
      <c r="F136" s="1" t="s">
        <v>28</v>
      </c>
      <c r="G136" s="1" t="s">
        <v>154</v>
      </c>
      <c r="H136" s="1" t="s">
        <v>6</v>
      </c>
      <c r="I136" s="1">
        <v>0</v>
      </c>
      <c r="J136" s="1"/>
      <c r="K136" s="1">
        <v>0</v>
      </c>
      <c r="L136" s="1"/>
      <c r="M136" s="1"/>
      <c r="N136" s="1"/>
      <c r="O136" s="1"/>
      <c r="P136" s="1"/>
      <c r="Q136" s="1"/>
      <c r="R136" s="1"/>
      <c r="S136" s="1"/>
      <c r="T136" s="1"/>
      <c r="U136" s="1" t="s">
        <v>6</v>
      </c>
      <c r="V136" s="1">
        <v>0</v>
      </c>
      <c r="W136" s="1"/>
      <c r="X136" s="1"/>
      <c r="Y136" s="1"/>
      <c r="Z136" s="1"/>
      <c r="AA136" s="1"/>
      <c r="AB136" s="1" t="s">
        <v>6</v>
      </c>
      <c r="AC136" s="1" t="s">
        <v>6</v>
      </c>
      <c r="AD136" s="1" t="s">
        <v>6</v>
      </c>
      <c r="AE136" s="1" t="s">
        <v>6</v>
      </c>
      <c r="AF136" s="1" t="s">
        <v>6</v>
      </c>
      <c r="AG136" s="1" t="s">
        <v>6</v>
      </c>
      <c r="AH136" s="1"/>
      <c r="AI136" s="1"/>
      <c r="AJ136" s="1"/>
      <c r="AK136" s="1"/>
      <c r="AL136" s="1"/>
      <c r="AM136" s="1"/>
      <c r="AN136" s="1"/>
      <c r="AO136" s="1"/>
      <c r="AP136" s="1" t="s">
        <v>6</v>
      </c>
      <c r="AQ136" s="1" t="s">
        <v>6</v>
      </c>
      <c r="AR136" s="1" t="s">
        <v>6</v>
      </c>
      <c r="AS136" s="1"/>
      <c r="AT136" s="1"/>
      <c r="AU136" s="1"/>
      <c r="AV136" s="1"/>
      <c r="AW136" s="1"/>
      <c r="AX136" s="1"/>
      <c r="AY136" s="1"/>
      <c r="AZ136" s="1" t="s">
        <v>6</v>
      </c>
      <c r="BA136" s="1"/>
      <c r="BB136" s="1" t="s">
        <v>6</v>
      </c>
      <c r="BC136" s="1" t="s">
        <v>6</v>
      </c>
      <c r="BD136" s="1" t="s">
        <v>6</v>
      </c>
      <c r="BE136" s="1" t="s">
        <v>6</v>
      </c>
      <c r="BF136" s="1" t="s">
        <v>6</v>
      </c>
      <c r="BG136" s="1" t="s">
        <v>6</v>
      </c>
      <c r="BH136" s="1" t="s">
        <v>6</v>
      </c>
      <c r="BI136" s="1" t="s">
        <v>6</v>
      </c>
      <c r="BJ136" s="1" t="s">
        <v>6</v>
      </c>
      <c r="BK136" s="1" t="s">
        <v>6</v>
      </c>
      <c r="BL136" s="1" t="s">
        <v>6</v>
      </c>
      <c r="BM136" s="1" t="s">
        <v>6</v>
      </c>
      <c r="BN136" s="1" t="s">
        <v>6</v>
      </c>
      <c r="BO136" s="1" t="s">
        <v>6</v>
      </c>
      <c r="BP136" s="1" t="s">
        <v>6</v>
      </c>
      <c r="BQ136" s="1"/>
      <c r="BR136" s="1"/>
      <c r="BS136" s="1"/>
      <c r="BT136" s="1"/>
      <c r="BU136" s="1"/>
      <c r="BV136" s="1"/>
      <c r="BW136" s="1"/>
      <c r="BX136" s="1">
        <v>0</v>
      </c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>
        <v>0</v>
      </c>
    </row>
    <row r="138" spans="1:245" x14ac:dyDescent="0.2">
      <c r="A138" s="2">
        <v>52</v>
      </c>
      <c r="B138" s="2">
        <f t="shared" ref="B138:G138" si="187">B143</f>
        <v>1</v>
      </c>
      <c r="C138" s="2">
        <f t="shared" si="187"/>
        <v>5</v>
      </c>
      <c r="D138" s="2">
        <f t="shared" si="187"/>
        <v>136</v>
      </c>
      <c r="E138" s="2">
        <f t="shared" si="187"/>
        <v>0</v>
      </c>
      <c r="F138" s="2" t="str">
        <f t="shared" si="187"/>
        <v>Новый подраздел</v>
      </c>
      <c r="G138" s="2" t="str">
        <f t="shared" si="187"/>
        <v>Прочие</v>
      </c>
      <c r="H138" s="2"/>
      <c r="I138" s="2"/>
      <c r="J138" s="2"/>
      <c r="K138" s="2"/>
      <c r="L138" s="2"/>
      <c r="M138" s="2"/>
      <c r="N138" s="2"/>
      <c r="O138" s="2">
        <f t="shared" ref="O138:AT138" si="188">O143</f>
        <v>15305.23</v>
      </c>
      <c r="P138" s="2">
        <f t="shared" si="188"/>
        <v>0</v>
      </c>
      <c r="Q138" s="2">
        <f t="shared" si="188"/>
        <v>15305.23</v>
      </c>
      <c r="R138" s="2">
        <f t="shared" si="188"/>
        <v>0</v>
      </c>
      <c r="S138" s="2">
        <f t="shared" si="188"/>
        <v>0</v>
      </c>
      <c r="T138" s="2">
        <f t="shared" si="188"/>
        <v>0</v>
      </c>
      <c r="U138" s="2">
        <f t="shared" si="188"/>
        <v>0</v>
      </c>
      <c r="V138" s="2">
        <f t="shared" si="188"/>
        <v>0</v>
      </c>
      <c r="W138" s="2">
        <f t="shared" si="188"/>
        <v>0</v>
      </c>
      <c r="X138" s="2">
        <f t="shared" si="188"/>
        <v>0</v>
      </c>
      <c r="Y138" s="2">
        <f t="shared" si="188"/>
        <v>0</v>
      </c>
      <c r="Z138" s="2">
        <f t="shared" si="188"/>
        <v>0</v>
      </c>
      <c r="AA138" s="2">
        <f t="shared" si="188"/>
        <v>0</v>
      </c>
      <c r="AB138" s="2">
        <f t="shared" si="188"/>
        <v>15305.23</v>
      </c>
      <c r="AC138" s="2">
        <f t="shared" si="188"/>
        <v>0</v>
      </c>
      <c r="AD138" s="2">
        <f t="shared" si="188"/>
        <v>15305.23</v>
      </c>
      <c r="AE138" s="2">
        <f t="shared" si="188"/>
        <v>0</v>
      </c>
      <c r="AF138" s="2">
        <f t="shared" si="188"/>
        <v>0</v>
      </c>
      <c r="AG138" s="2">
        <f t="shared" si="188"/>
        <v>0</v>
      </c>
      <c r="AH138" s="2">
        <f t="shared" si="188"/>
        <v>0</v>
      </c>
      <c r="AI138" s="2">
        <f t="shared" si="188"/>
        <v>0</v>
      </c>
      <c r="AJ138" s="2">
        <f t="shared" si="188"/>
        <v>0</v>
      </c>
      <c r="AK138" s="2">
        <f t="shared" si="188"/>
        <v>0</v>
      </c>
      <c r="AL138" s="2">
        <f t="shared" si="188"/>
        <v>0</v>
      </c>
      <c r="AM138" s="2">
        <f t="shared" si="188"/>
        <v>0</v>
      </c>
      <c r="AN138" s="2">
        <f t="shared" si="188"/>
        <v>0</v>
      </c>
      <c r="AO138" s="2">
        <f t="shared" si="188"/>
        <v>0</v>
      </c>
      <c r="AP138" s="2">
        <f t="shared" si="188"/>
        <v>0</v>
      </c>
      <c r="AQ138" s="2">
        <f t="shared" si="188"/>
        <v>0</v>
      </c>
      <c r="AR138" s="2">
        <f t="shared" si="188"/>
        <v>15305.23</v>
      </c>
      <c r="AS138" s="2">
        <f t="shared" si="188"/>
        <v>0</v>
      </c>
      <c r="AT138" s="2">
        <f t="shared" si="188"/>
        <v>0</v>
      </c>
      <c r="AU138" s="2">
        <f t="shared" ref="AU138:BZ138" si="189">AU143</f>
        <v>15305.23</v>
      </c>
      <c r="AV138" s="2">
        <f t="shared" si="189"/>
        <v>0</v>
      </c>
      <c r="AW138" s="2">
        <f t="shared" si="189"/>
        <v>0</v>
      </c>
      <c r="AX138" s="2">
        <f t="shared" si="189"/>
        <v>0</v>
      </c>
      <c r="AY138" s="2">
        <f t="shared" si="189"/>
        <v>0</v>
      </c>
      <c r="AZ138" s="2">
        <f t="shared" si="189"/>
        <v>0</v>
      </c>
      <c r="BA138" s="2">
        <f t="shared" si="189"/>
        <v>0</v>
      </c>
      <c r="BB138" s="2">
        <f t="shared" si="189"/>
        <v>0</v>
      </c>
      <c r="BC138" s="2">
        <f t="shared" si="189"/>
        <v>0</v>
      </c>
      <c r="BD138" s="2">
        <f t="shared" si="189"/>
        <v>0</v>
      </c>
      <c r="BE138" s="2">
        <f t="shared" si="189"/>
        <v>0</v>
      </c>
      <c r="BF138" s="2">
        <f t="shared" si="189"/>
        <v>0</v>
      </c>
      <c r="BG138" s="2">
        <f t="shared" si="189"/>
        <v>0</v>
      </c>
      <c r="BH138" s="2">
        <f t="shared" si="189"/>
        <v>0</v>
      </c>
      <c r="BI138" s="2">
        <f t="shared" si="189"/>
        <v>0</v>
      </c>
      <c r="BJ138" s="2">
        <f t="shared" si="189"/>
        <v>0</v>
      </c>
      <c r="BK138" s="2">
        <f t="shared" si="189"/>
        <v>0</v>
      </c>
      <c r="BL138" s="2">
        <f t="shared" si="189"/>
        <v>0</v>
      </c>
      <c r="BM138" s="2">
        <f t="shared" si="189"/>
        <v>0</v>
      </c>
      <c r="BN138" s="2">
        <f t="shared" si="189"/>
        <v>0</v>
      </c>
      <c r="BO138" s="2">
        <f t="shared" si="189"/>
        <v>0</v>
      </c>
      <c r="BP138" s="2">
        <f t="shared" si="189"/>
        <v>0</v>
      </c>
      <c r="BQ138" s="2">
        <f t="shared" si="189"/>
        <v>0</v>
      </c>
      <c r="BR138" s="2">
        <f t="shared" si="189"/>
        <v>0</v>
      </c>
      <c r="BS138" s="2">
        <f t="shared" si="189"/>
        <v>0</v>
      </c>
      <c r="BT138" s="2">
        <f t="shared" si="189"/>
        <v>0</v>
      </c>
      <c r="BU138" s="2">
        <f t="shared" si="189"/>
        <v>0</v>
      </c>
      <c r="BV138" s="2">
        <f t="shared" si="189"/>
        <v>0</v>
      </c>
      <c r="BW138" s="2">
        <f t="shared" si="189"/>
        <v>0</v>
      </c>
      <c r="BX138" s="2">
        <f t="shared" si="189"/>
        <v>0</v>
      </c>
      <c r="BY138" s="2">
        <f t="shared" si="189"/>
        <v>0</v>
      </c>
      <c r="BZ138" s="2">
        <f t="shared" si="189"/>
        <v>0</v>
      </c>
      <c r="CA138" s="2">
        <f t="shared" ref="CA138:DF138" si="190">CA143</f>
        <v>15305.23</v>
      </c>
      <c r="CB138" s="2">
        <f t="shared" si="190"/>
        <v>0</v>
      </c>
      <c r="CC138" s="2">
        <f t="shared" si="190"/>
        <v>0</v>
      </c>
      <c r="CD138" s="2">
        <f t="shared" si="190"/>
        <v>15305.23</v>
      </c>
      <c r="CE138" s="2">
        <f t="shared" si="190"/>
        <v>0</v>
      </c>
      <c r="CF138" s="2">
        <f t="shared" si="190"/>
        <v>0</v>
      </c>
      <c r="CG138" s="2">
        <f t="shared" si="190"/>
        <v>0</v>
      </c>
      <c r="CH138" s="2">
        <f t="shared" si="190"/>
        <v>0</v>
      </c>
      <c r="CI138" s="2">
        <f t="shared" si="190"/>
        <v>0</v>
      </c>
      <c r="CJ138" s="2">
        <f t="shared" si="190"/>
        <v>0</v>
      </c>
      <c r="CK138" s="2">
        <f t="shared" si="190"/>
        <v>0</v>
      </c>
      <c r="CL138" s="2">
        <f t="shared" si="190"/>
        <v>0</v>
      </c>
      <c r="CM138" s="2">
        <f t="shared" si="190"/>
        <v>0</v>
      </c>
      <c r="CN138" s="2">
        <f t="shared" si="190"/>
        <v>0</v>
      </c>
      <c r="CO138" s="2">
        <f t="shared" si="190"/>
        <v>0</v>
      </c>
      <c r="CP138" s="2">
        <f t="shared" si="190"/>
        <v>0</v>
      </c>
      <c r="CQ138" s="2">
        <f t="shared" si="190"/>
        <v>0</v>
      </c>
      <c r="CR138" s="2">
        <f t="shared" si="190"/>
        <v>0</v>
      </c>
      <c r="CS138" s="2">
        <f t="shared" si="190"/>
        <v>0</v>
      </c>
      <c r="CT138" s="2">
        <f t="shared" si="190"/>
        <v>0</v>
      </c>
      <c r="CU138" s="2">
        <f t="shared" si="190"/>
        <v>0</v>
      </c>
      <c r="CV138" s="2">
        <f t="shared" si="190"/>
        <v>0</v>
      </c>
      <c r="CW138" s="2">
        <f t="shared" si="190"/>
        <v>0</v>
      </c>
      <c r="CX138" s="2">
        <f t="shared" si="190"/>
        <v>0</v>
      </c>
      <c r="CY138" s="2">
        <f t="shared" si="190"/>
        <v>0</v>
      </c>
      <c r="CZ138" s="2">
        <f t="shared" si="190"/>
        <v>0</v>
      </c>
      <c r="DA138" s="2">
        <f t="shared" si="190"/>
        <v>0</v>
      </c>
      <c r="DB138" s="2">
        <f t="shared" si="190"/>
        <v>0</v>
      </c>
      <c r="DC138" s="2">
        <f t="shared" si="190"/>
        <v>0</v>
      </c>
      <c r="DD138" s="2">
        <f t="shared" si="190"/>
        <v>0</v>
      </c>
      <c r="DE138" s="2">
        <f t="shared" si="190"/>
        <v>0</v>
      </c>
      <c r="DF138" s="2">
        <f t="shared" si="190"/>
        <v>0</v>
      </c>
      <c r="DG138" s="3">
        <f t="shared" ref="DG138:EL138" si="191">DG143</f>
        <v>0</v>
      </c>
      <c r="DH138" s="3">
        <f t="shared" si="191"/>
        <v>0</v>
      </c>
      <c r="DI138" s="3">
        <f t="shared" si="191"/>
        <v>0</v>
      </c>
      <c r="DJ138" s="3">
        <f t="shared" si="191"/>
        <v>0</v>
      </c>
      <c r="DK138" s="3">
        <f t="shared" si="191"/>
        <v>0</v>
      </c>
      <c r="DL138" s="3">
        <f t="shared" si="191"/>
        <v>0</v>
      </c>
      <c r="DM138" s="3">
        <f t="shared" si="191"/>
        <v>0</v>
      </c>
      <c r="DN138" s="3">
        <f t="shared" si="191"/>
        <v>0</v>
      </c>
      <c r="DO138" s="3">
        <f t="shared" si="191"/>
        <v>0</v>
      </c>
      <c r="DP138" s="3">
        <f t="shared" si="191"/>
        <v>0</v>
      </c>
      <c r="DQ138" s="3">
        <f t="shared" si="191"/>
        <v>0</v>
      </c>
      <c r="DR138" s="3">
        <f t="shared" si="191"/>
        <v>0</v>
      </c>
      <c r="DS138" s="3">
        <f t="shared" si="191"/>
        <v>0</v>
      </c>
      <c r="DT138" s="3">
        <f t="shared" si="191"/>
        <v>0</v>
      </c>
      <c r="DU138" s="3">
        <f t="shared" si="191"/>
        <v>0</v>
      </c>
      <c r="DV138" s="3">
        <f t="shared" si="191"/>
        <v>0</v>
      </c>
      <c r="DW138" s="3">
        <f t="shared" si="191"/>
        <v>0</v>
      </c>
      <c r="DX138" s="3">
        <f t="shared" si="191"/>
        <v>0</v>
      </c>
      <c r="DY138" s="3">
        <f t="shared" si="191"/>
        <v>0</v>
      </c>
      <c r="DZ138" s="3">
        <f t="shared" si="191"/>
        <v>0</v>
      </c>
      <c r="EA138" s="3">
        <f t="shared" si="191"/>
        <v>0</v>
      </c>
      <c r="EB138" s="3">
        <f t="shared" si="191"/>
        <v>0</v>
      </c>
      <c r="EC138" s="3">
        <f t="shared" si="191"/>
        <v>0</v>
      </c>
      <c r="ED138" s="3">
        <f t="shared" si="191"/>
        <v>0</v>
      </c>
      <c r="EE138" s="3">
        <f t="shared" si="191"/>
        <v>0</v>
      </c>
      <c r="EF138" s="3">
        <f t="shared" si="191"/>
        <v>0</v>
      </c>
      <c r="EG138" s="3">
        <f t="shared" si="191"/>
        <v>0</v>
      </c>
      <c r="EH138" s="3">
        <f t="shared" si="191"/>
        <v>0</v>
      </c>
      <c r="EI138" s="3">
        <f t="shared" si="191"/>
        <v>0</v>
      </c>
      <c r="EJ138" s="3">
        <f t="shared" si="191"/>
        <v>0</v>
      </c>
      <c r="EK138" s="3">
        <f t="shared" si="191"/>
        <v>0</v>
      </c>
      <c r="EL138" s="3">
        <f t="shared" si="191"/>
        <v>0</v>
      </c>
      <c r="EM138" s="3">
        <f t="shared" ref="EM138:FR138" si="192">EM143</f>
        <v>0</v>
      </c>
      <c r="EN138" s="3">
        <f t="shared" si="192"/>
        <v>0</v>
      </c>
      <c r="EO138" s="3">
        <f t="shared" si="192"/>
        <v>0</v>
      </c>
      <c r="EP138" s="3">
        <f t="shared" si="192"/>
        <v>0</v>
      </c>
      <c r="EQ138" s="3">
        <f t="shared" si="192"/>
        <v>0</v>
      </c>
      <c r="ER138" s="3">
        <f t="shared" si="192"/>
        <v>0</v>
      </c>
      <c r="ES138" s="3">
        <f t="shared" si="192"/>
        <v>0</v>
      </c>
      <c r="ET138" s="3">
        <f t="shared" si="192"/>
        <v>0</v>
      </c>
      <c r="EU138" s="3">
        <f t="shared" si="192"/>
        <v>0</v>
      </c>
      <c r="EV138" s="3">
        <f t="shared" si="192"/>
        <v>0</v>
      </c>
      <c r="EW138" s="3">
        <f t="shared" si="192"/>
        <v>0</v>
      </c>
      <c r="EX138" s="3">
        <f t="shared" si="192"/>
        <v>0</v>
      </c>
      <c r="EY138" s="3">
        <f t="shared" si="192"/>
        <v>0</v>
      </c>
      <c r="EZ138" s="3">
        <f t="shared" si="192"/>
        <v>0</v>
      </c>
      <c r="FA138" s="3">
        <f t="shared" si="192"/>
        <v>0</v>
      </c>
      <c r="FB138" s="3">
        <f t="shared" si="192"/>
        <v>0</v>
      </c>
      <c r="FC138" s="3">
        <f t="shared" si="192"/>
        <v>0</v>
      </c>
      <c r="FD138" s="3">
        <f t="shared" si="192"/>
        <v>0</v>
      </c>
      <c r="FE138" s="3">
        <f t="shared" si="192"/>
        <v>0</v>
      </c>
      <c r="FF138" s="3">
        <f t="shared" si="192"/>
        <v>0</v>
      </c>
      <c r="FG138" s="3">
        <f t="shared" si="192"/>
        <v>0</v>
      </c>
      <c r="FH138" s="3">
        <f t="shared" si="192"/>
        <v>0</v>
      </c>
      <c r="FI138" s="3">
        <f t="shared" si="192"/>
        <v>0</v>
      </c>
      <c r="FJ138" s="3">
        <f t="shared" si="192"/>
        <v>0</v>
      </c>
      <c r="FK138" s="3">
        <f t="shared" si="192"/>
        <v>0</v>
      </c>
      <c r="FL138" s="3">
        <f t="shared" si="192"/>
        <v>0</v>
      </c>
      <c r="FM138" s="3">
        <f t="shared" si="192"/>
        <v>0</v>
      </c>
      <c r="FN138" s="3">
        <f t="shared" si="192"/>
        <v>0</v>
      </c>
      <c r="FO138" s="3">
        <f t="shared" si="192"/>
        <v>0</v>
      </c>
      <c r="FP138" s="3">
        <f t="shared" si="192"/>
        <v>0</v>
      </c>
      <c r="FQ138" s="3">
        <f t="shared" si="192"/>
        <v>0</v>
      </c>
      <c r="FR138" s="3">
        <f t="shared" si="192"/>
        <v>0</v>
      </c>
      <c r="FS138" s="3">
        <f t="shared" ref="FS138:GX138" si="193">FS143</f>
        <v>0</v>
      </c>
      <c r="FT138" s="3">
        <f t="shared" si="193"/>
        <v>0</v>
      </c>
      <c r="FU138" s="3">
        <f t="shared" si="193"/>
        <v>0</v>
      </c>
      <c r="FV138" s="3">
        <f t="shared" si="193"/>
        <v>0</v>
      </c>
      <c r="FW138" s="3">
        <f t="shared" si="193"/>
        <v>0</v>
      </c>
      <c r="FX138" s="3">
        <f t="shared" si="193"/>
        <v>0</v>
      </c>
      <c r="FY138" s="3">
        <f t="shared" si="193"/>
        <v>0</v>
      </c>
      <c r="FZ138" s="3">
        <f t="shared" si="193"/>
        <v>0</v>
      </c>
      <c r="GA138" s="3">
        <f t="shared" si="193"/>
        <v>0</v>
      </c>
      <c r="GB138" s="3">
        <f t="shared" si="193"/>
        <v>0</v>
      </c>
      <c r="GC138" s="3">
        <f t="shared" si="193"/>
        <v>0</v>
      </c>
      <c r="GD138" s="3">
        <f t="shared" si="193"/>
        <v>0</v>
      </c>
      <c r="GE138" s="3">
        <f t="shared" si="193"/>
        <v>0</v>
      </c>
      <c r="GF138" s="3">
        <f t="shared" si="193"/>
        <v>0</v>
      </c>
      <c r="GG138" s="3">
        <f t="shared" si="193"/>
        <v>0</v>
      </c>
      <c r="GH138" s="3">
        <f t="shared" si="193"/>
        <v>0</v>
      </c>
      <c r="GI138" s="3">
        <f t="shared" si="193"/>
        <v>0</v>
      </c>
      <c r="GJ138" s="3">
        <f t="shared" si="193"/>
        <v>0</v>
      </c>
      <c r="GK138" s="3">
        <f t="shared" si="193"/>
        <v>0</v>
      </c>
      <c r="GL138" s="3">
        <f t="shared" si="193"/>
        <v>0</v>
      </c>
      <c r="GM138" s="3">
        <f t="shared" si="193"/>
        <v>0</v>
      </c>
      <c r="GN138" s="3">
        <f t="shared" si="193"/>
        <v>0</v>
      </c>
      <c r="GO138" s="3">
        <f t="shared" si="193"/>
        <v>0</v>
      </c>
      <c r="GP138" s="3">
        <f t="shared" si="193"/>
        <v>0</v>
      </c>
      <c r="GQ138" s="3">
        <f t="shared" si="193"/>
        <v>0</v>
      </c>
      <c r="GR138" s="3">
        <f t="shared" si="193"/>
        <v>0</v>
      </c>
      <c r="GS138" s="3">
        <f t="shared" si="193"/>
        <v>0</v>
      </c>
      <c r="GT138" s="3">
        <f t="shared" si="193"/>
        <v>0</v>
      </c>
      <c r="GU138" s="3">
        <f t="shared" si="193"/>
        <v>0</v>
      </c>
      <c r="GV138" s="3">
        <f t="shared" si="193"/>
        <v>0</v>
      </c>
      <c r="GW138" s="3">
        <f t="shared" si="193"/>
        <v>0</v>
      </c>
      <c r="GX138" s="3">
        <f t="shared" si="193"/>
        <v>0</v>
      </c>
    </row>
    <row r="140" spans="1:245" x14ac:dyDescent="0.2">
      <c r="A140">
        <v>17</v>
      </c>
      <c r="B140">
        <v>1</v>
      </c>
      <c r="C140">
        <f>ROW(SmtRes!A90)</f>
        <v>90</v>
      </c>
      <c r="D140">
        <f>ROW(EtalonRes!A89)</f>
        <v>89</v>
      </c>
      <c r="E140" t="s">
        <v>30</v>
      </c>
      <c r="F140" t="s">
        <v>186</v>
      </c>
      <c r="G140" t="s">
        <v>187</v>
      </c>
      <c r="H140" t="s">
        <v>188</v>
      </c>
      <c r="I140">
        <f>ROUND(I35*100,9)</f>
        <v>21.6</v>
      </c>
      <c r="J140">
        <v>0</v>
      </c>
      <c r="O140">
        <f>ROUND(CP140,2)</f>
        <v>10475.790000000001</v>
      </c>
      <c r="P140">
        <f>ROUND((ROUND((AC140*AW140*I140),2)*BC140),2)</f>
        <v>0</v>
      </c>
      <c r="Q140">
        <f>(ROUND((ROUND(((ET140)*AV140*I140),2)*BB140),2)+ROUND((ROUND(((AE140-(EU140))*AV140*I140),2)*BS140),2))</f>
        <v>10475.790000000001</v>
      </c>
      <c r="R140">
        <f>ROUND((ROUND((AE140*AV140*I140),2)*BS140),2)</f>
        <v>0</v>
      </c>
      <c r="S140">
        <f>ROUND((ROUND((AF140*AV140*I140),2)*BA140),2)</f>
        <v>0</v>
      </c>
      <c r="T140">
        <f>ROUND(CU140*I140,2)</f>
        <v>0</v>
      </c>
      <c r="U140">
        <f>CV140*I140</f>
        <v>0</v>
      </c>
      <c r="V140">
        <f>CW140*I140</f>
        <v>0</v>
      </c>
      <c r="W140">
        <f>ROUND(CX140*I140,2)</f>
        <v>0</v>
      </c>
      <c r="X140">
        <f>ROUND(CY140,2)</f>
        <v>0</v>
      </c>
      <c r="Y140">
        <f>ROUND(CZ140,2)</f>
        <v>0</v>
      </c>
      <c r="AA140">
        <v>44175489</v>
      </c>
      <c r="AB140">
        <f>ROUND((AC140+AD140+AF140),6)</f>
        <v>55.05</v>
      </c>
      <c r="AC140">
        <f>ROUND((ES140),6)</f>
        <v>0</v>
      </c>
      <c r="AD140">
        <f>ROUND((((ET140)-(EU140))+AE140),6)</f>
        <v>55.05</v>
      </c>
      <c r="AE140">
        <f>ROUND((EU140),6)</f>
        <v>0</v>
      </c>
      <c r="AF140">
        <f>ROUND((EV140),6)</f>
        <v>0</v>
      </c>
      <c r="AG140">
        <f>ROUND((AP140),6)</f>
        <v>0</v>
      </c>
      <c r="AH140">
        <f>(EW140)</f>
        <v>0</v>
      </c>
      <c r="AI140">
        <f>(EX140)</f>
        <v>0</v>
      </c>
      <c r="AJ140">
        <f>(AS140)</f>
        <v>0</v>
      </c>
      <c r="AK140">
        <v>55.05</v>
      </c>
      <c r="AL140">
        <v>0</v>
      </c>
      <c r="AM140">
        <v>55.05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1</v>
      </c>
      <c r="AW140">
        <v>1</v>
      </c>
      <c r="AZ140">
        <v>1</v>
      </c>
      <c r="BA140">
        <v>21.43</v>
      </c>
      <c r="BB140">
        <v>8.81</v>
      </c>
      <c r="BC140">
        <v>1</v>
      </c>
      <c r="BD140" t="s">
        <v>6</v>
      </c>
      <c r="BE140" t="s">
        <v>6</v>
      </c>
      <c r="BF140" t="s">
        <v>6</v>
      </c>
      <c r="BG140" t="s">
        <v>6</v>
      </c>
      <c r="BH140">
        <v>0</v>
      </c>
      <c r="BI140">
        <v>4</v>
      </c>
      <c r="BJ140" t="s">
        <v>189</v>
      </c>
      <c r="BM140">
        <v>1110</v>
      </c>
      <c r="BN140">
        <v>0</v>
      </c>
      <c r="BO140" t="s">
        <v>186</v>
      </c>
      <c r="BP140">
        <v>1</v>
      </c>
      <c r="BQ140">
        <v>150</v>
      </c>
      <c r="BR140">
        <v>0</v>
      </c>
      <c r="BS140">
        <v>21.43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6</v>
      </c>
      <c r="BZ140">
        <v>0</v>
      </c>
      <c r="CA140">
        <v>0</v>
      </c>
      <c r="CE140">
        <v>30</v>
      </c>
      <c r="CF140">
        <v>0</v>
      </c>
      <c r="CG140">
        <v>0</v>
      </c>
      <c r="CM140">
        <v>0</v>
      </c>
      <c r="CN140" t="s">
        <v>6</v>
      </c>
      <c r="CO140">
        <v>0</v>
      </c>
      <c r="CP140">
        <f>(P140+Q140+S140)</f>
        <v>10475.790000000001</v>
      </c>
      <c r="CQ140">
        <f>ROUND((ROUND((AC140*AW140*1),2)*BC140),2)</f>
        <v>0</v>
      </c>
      <c r="CR140">
        <f>(ROUND((ROUND(((ET140)*AV140*1),2)*BB140),2)+ROUND((ROUND(((AE140-(EU140))*AV140*1),2)*BS140),2))</f>
        <v>484.99</v>
      </c>
      <c r="CS140">
        <f>ROUND((ROUND((AE140*AV140*1),2)*BS140),2)</f>
        <v>0</v>
      </c>
      <c r="CT140">
        <f>ROUND((ROUND((AF140*AV140*1),2)*BA140),2)</f>
        <v>0</v>
      </c>
      <c r="CU140">
        <f>AG140</f>
        <v>0</v>
      </c>
      <c r="CV140">
        <f>(AH140*AV140)</f>
        <v>0</v>
      </c>
      <c r="CW140">
        <f>AI140</f>
        <v>0</v>
      </c>
      <c r="CX140">
        <f>AJ140</f>
        <v>0</v>
      </c>
      <c r="CY140">
        <f>S140*(BZ140/100)</f>
        <v>0</v>
      </c>
      <c r="CZ140">
        <f>S140*(CA140/100)</f>
        <v>0</v>
      </c>
      <c r="DC140" t="s">
        <v>6</v>
      </c>
      <c r="DD140" t="s">
        <v>6</v>
      </c>
      <c r="DE140" t="s">
        <v>6</v>
      </c>
      <c r="DF140" t="s">
        <v>6</v>
      </c>
      <c r="DG140" t="s">
        <v>6</v>
      </c>
      <c r="DH140" t="s">
        <v>6</v>
      </c>
      <c r="DI140" t="s">
        <v>6</v>
      </c>
      <c r="DJ140" t="s">
        <v>6</v>
      </c>
      <c r="DK140" t="s">
        <v>6</v>
      </c>
      <c r="DL140" t="s">
        <v>6</v>
      </c>
      <c r="DM140" t="s">
        <v>6</v>
      </c>
      <c r="DN140">
        <v>0</v>
      </c>
      <c r="DO140">
        <v>0</v>
      </c>
      <c r="DP140">
        <v>1</v>
      </c>
      <c r="DQ140">
        <v>1</v>
      </c>
      <c r="DU140">
        <v>1013</v>
      </c>
      <c r="DV140" t="s">
        <v>188</v>
      </c>
      <c r="DW140" t="s">
        <v>188</v>
      </c>
      <c r="DX140">
        <v>1</v>
      </c>
      <c r="EE140">
        <v>44064929</v>
      </c>
      <c r="EF140">
        <v>150</v>
      </c>
      <c r="EG140" t="s">
        <v>190</v>
      </c>
      <c r="EH140">
        <v>0</v>
      </c>
      <c r="EI140" t="s">
        <v>6</v>
      </c>
      <c r="EJ140">
        <v>4</v>
      </c>
      <c r="EK140">
        <v>1110</v>
      </c>
      <c r="EL140" t="s">
        <v>191</v>
      </c>
      <c r="EM140" t="s">
        <v>192</v>
      </c>
      <c r="EO140" t="s">
        <v>6</v>
      </c>
      <c r="EQ140">
        <v>131072</v>
      </c>
      <c r="ER140">
        <v>55.05</v>
      </c>
      <c r="ES140">
        <v>0</v>
      </c>
      <c r="ET140">
        <v>55.05</v>
      </c>
      <c r="EU140">
        <v>0</v>
      </c>
      <c r="EV140">
        <v>0</v>
      </c>
      <c r="EW140">
        <v>0</v>
      </c>
      <c r="EX140">
        <v>0</v>
      </c>
      <c r="EY140">
        <v>0</v>
      </c>
      <c r="FQ140">
        <v>0</v>
      </c>
      <c r="FR140">
        <f>ROUND(IF(AND(BH140=3,BI140=3),P140,0),2)</f>
        <v>0</v>
      </c>
      <c r="FS140">
        <v>0</v>
      </c>
      <c r="FX140">
        <v>0</v>
      </c>
      <c r="FY140">
        <v>0</v>
      </c>
      <c r="GA140" t="s">
        <v>6</v>
      </c>
      <c r="GD140">
        <v>1</v>
      </c>
      <c r="GF140">
        <v>983114572</v>
      </c>
      <c r="GG140">
        <v>2</v>
      </c>
      <c r="GH140">
        <v>1</v>
      </c>
      <c r="GI140">
        <v>2</v>
      </c>
      <c r="GJ140">
        <v>0</v>
      </c>
      <c r="GK140">
        <v>0</v>
      </c>
      <c r="GL140">
        <f>ROUND(IF(AND(BH140=3,BI140=3,FS140&lt;&gt;0),P140,0),2)</f>
        <v>0</v>
      </c>
      <c r="GM140">
        <f>ROUND(O140+X140+Y140,2)+GX140</f>
        <v>10475.790000000001</v>
      </c>
      <c r="GN140">
        <f>IF(OR(BI140=0,BI140=1),ROUND(O140+X140+Y140,2),0)</f>
        <v>0</v>
      </c>
      <c r="GO140">
        <f>IF(BI140=2,ROUND(O140+X140+Y140,2),0)</f>
        <v>0</v>
      </c>
      <c r="GP140">
        <f>IF(BI140=4,ROUND(O140+X140+Y140,2)+GX140,0)</f>
        <v>10475.790000000001</v>
      </c>
      <c r="GR140">
        <v>0</v>
      </c>
      <c r="GS140">
        <v>0</v>
      </c>
      <c r="GT140">
        <v>0</v>
      </c>
      <c r="GU140" t="s">
        <v>6</v>
      </c>
      <c r="GV140">
        <f>ROUND((GT140),6)</f>
        <v>0</v>
      </c>
      <c r="GW140">
        <v>1</v>
      </c>
      <c r="GX140">
        <f>ROUND(HC140*I140,2)</f>
        <v>0</v>
      </c>
      <c r="HA140">
        <v>0</v>
      </c>
      <c r="HB140">
        <v>0</v>
      </c>
      <c r="HC140">
        <f>GV140*GW140</f>
        <v>0</v>
      </c>
      <c r="IK140">
        <v>0</v>
      </c>
    </row>
    <row r="141" spans="1:245" x14ac:dyDescent="0.2">
      <c r="A141">
        <v>17</v>
      </c>
      <c r="B141">
        <v>1</v>
      </c>
      <c r="D141">
        <f>ROW(EtalonRes!A90)</f>
        <v>90</v>
      </c>
      <c r="E141" t="s">
        <v>193</v>
      </c>
      <c r="F141" t="s">
        <v>194</v>
      </c>
      <c r="G141" t="s">
        <v>195</v>
      </c>
      <c r="H141" t="s">
        <v>196</v>
      </c>
      <c r="I141">
        <f>ROUND(I140*1.8,9)</f>
        <v>38.880000000000003</v>
      </c>
      <c r="J141">
        <v>0</v>
      </c>
      <c r="O141">
        <f>ROUND(CP141,2)</f>
        <v>4829.4399999999996</v>
      </c>
      <c r="P141">
        <f>ROUND((ROUND((AC141*AW141*I141),2)*BC141),2)</f>
        <v>0</v>
      </c>
      <c r="Q141">
        <f>(ROUND((ROUND(((ET141)*AV141*I141),2)*BB141),2)+ROUND((ROUND(((AE141-(EU141))*AV141*I141),2)*BS141),2))</f>
        <v>4829.4399999999996</v>
      </c>
      <c r="R141">
        <f>ROUND((ROUND((AE141*AV141*I141),2)*BS141),2)</f>
        <v>0</v>
      </c>
      <c r="S141">
        <f>ROUND((ROUND((AF141*AV141*I141),2)*BA141),2)</f>
        <v>0</v>
      </c>
      <c r="T141">
        <f>ROUND(CU141*I141,2)</f>
        <v>0</v>
      </c>
      <c r="U141">
        <f>CV141*I141</f>
        <v>0</v>
      </c>
      <c r="V141">
        <f>CW141*I141</f>
        <v>0</v>
      </c>
      <c r="W141">
        <f>ROUND(CX141*I141,2)</f>
        <v>0</v>
      </c>
      <c r="X141">
        <f>ROUND(CY141,2)</f>
        <v>0</v>
      </c>
      <c r="Y141">
        <f>ROUND(CZ141,2)</f>
        <v>0</v>
      </c>
      <c r="AA141">
        <v>44175489</v>
      </c>
      <c r="AB141">
        <f>ROUND((AC141+AD141+AF141),6)</f>
        <v>43.28</v>
      </c>
      <c r="AC141">
        <f>ROUND((ES141),6)</f>
        <v>0</v>
      </c>
      <c r="AD141">
        <f>ROUND((((ET141)-(EU141))+AE141),6)</f>
        <v>43.28</v>
      </c>
      <c r="AE141">
        <f>ROUND((EU141),6)</f>
        <v>0</v>
      </c>
      <c r="AF141">
        <f>ROUND((EV141),6)</f>
        <v>0</v>
      </c>
      <c r="AG141">
        <f>ROUND((AP141),6)</f>
        <v>0</v>
      </c>
      <c r="AH141">
        <f>(EW141)</f>
        <v>0</v>
      </c>
      <c r="AI141">
        <f>(EX141)</f>
        <v>0</v>
      </c>
      <c r="AJ141">
        <f>(AS141)</f>
        <v>0</v>
      </c>
      <c r="AK141">
        <v>43.28</v>
      </c>
      <c r="AL141">
        <v>0</v>
      </c>
      <c r="AM141">
        <v>43.28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1</v>
      </c>
      <c r="AW141">
        <v>1</v>
      </c>
      <c r="AZ141">
        <v>1</v>
      </c>
      <c r="BA141">
        <v>21.43</v>
      </c>
      <c r="BB141">
        <v>2.87</v>
      </c>
      <c r="BC141">
        <v>1</v>
      </c>
      <c r="BD141" t="s">
        <v>6</v>
      </c>
      <c r="BE141" t="s">
        <v>6</v>
      </c>
      <c r="BF141" t="s">
        <v>6</v>
      </c>
      <c r="BG141" t="s">
        <v>6</v>
      </c>
      <c r="BH141">
        <v>0</v>
      </c>
      <c r="BI141">
        <v>4</v>
      </c>
      <c r="BJ141" t="s">
        <v>197</v>
      </c>
      <c r="BM141">
        <v>1110</v>
      </c>
      <c r="BN141">
        <v>0</v>
      </c>
      <c r="BO141" t="s">
        <v>194</v>
      </c>
      <c r="BP141">
        <v>1</v>
      </c>
      <c r="BQ141">
        <v>150</v>
      </c>
      <c r="BR141">
        <v>0</v>
      </c>
      <c r="BS141">
        <v>21.43</v>
      </c>
      <c r="BT141">
        <v>1</v>
      </c>
      <c r="BU141">
        <v>1</v>
      </c>
      <c r="BV141">
        <v>1</v>
      </c>
      <c r="BW141">
        <v>1</v>
      </c>
      <c r="BX141">
        <v>1</v>
      </c>
      <c r="BY141" t="s">
        <v>6</v>
      </c>
      <c r="BZ141">
        <v>0</v>
      </c>
      <c r="CA141">
        <v>0</v>
      </c>
      <c r="CE141">
        <v>30</v>
      </c>
      <c r="CF141">
        <v>0</v>
      </c>
      <c r="CG141">
        <v>0</v>
      </c>
      <c r="CM141">
        <v>0</v>
      </c>
      <c r="CN141" t="s">
        <v>6</v>
      </c>
      <c r="CO141">
        <v>0</v>
      </c>
      <c r="CP141">
        <f>(P141+Q141+S141)</f>
        <v>4829.4399999999996</v>
      </c>
      <c r="CQ141">
        <f>ROUND((ROUND((AC141*AW141*1),2)*BC141),2)</f>
        <v>0</v>
      </c>
      <c r="CR141">
        <f>(ROUND((ROUND(((ET141)*AV141*1),2)*BB141),2)+ROUND((ROUND(((AE141-(EU141))*AV141*1),2)*BS141),2))</f>
        <v>124.21</v>
      </c>
      <c r="CS141">
        <f>ROUND((ROUND((AE141*AV141*1),2)*BS141),2)</f>
        <v>0</v>
      </c>
      <c r="CT141">
        <f>ROUND((ROUND((AF141*AV141*1),2)*BA141),2)</f>
        <v>0</v>
      </c>
      <c r="CU141">
        <f>AG141</f>
        <v>0</v>
      </c>
      <c r="CV141">
        <f>(AH141*AV141)</f>
        <v>0</v>
      </c>
      <c r="CW141">
        <f>AI141</f>
        <v>0</v>
      </c>
      <c r="CX141">
        <f>AJ141</f>
        <v>0</v>
      </c>
      <c r="CY141">
        <f>S141*(BZ141/100)</f>
        <v>0</v>
      </c>
      <c r="CZ141">
        <f>S141*(CA141/100)</f>
        <v>0</v>
      </c>
      <c r="DC141" t="s">
        <v>6</v>
      </c>
      <c r="DD141" t="s">
        <v>6</v>
      </c>
      <c r="DE141" t="s">
        <v>6</v>
      </c>
      <c r="DF141" t="s">
        <v>6</v>
      </c>
      <c r="DG141" t="s">
        <v>6</v>
      </c>
      <c r="DH141" t="s">
        <v>6</v>
      </c>
      <c r="DI141" t="s">
        <v>6</v>
      </c>
      <c r="DJ141" t="s">
        <v>6</v>
      </c>
      <c r="DK141" t="s">
        <v>6</v>
      </c>
      <c r="DL141" t="s">
        <v>6</v>
      </c>
      <c r="DM141" t="s">
        <v>6</v>
      </c>
      <c r="DN141">
        <v>0</v>
      </c>
      <c r="DO141">
        <v>0</v>
      </c>
      <c r="DP141">
        <v>1</v>
      </c>
      <c r="DQ141">
        <v>1</v>
      </c>
      <c r="DU141">
        <v>1013</v>
      </c>
      <c r="DV141" t="s">
        <v>196</v>
      </c>
      <c r="DW141" t="s">
        <v>196</v>
      </c>
      <c r="DX141">
        <v>1</v>
      </c>
      <c r="EE141">
        <v>44064929</v>
      </c>
      <c r="EF141">
        <v>150</v>
      </c>
      <c r="EG141" t="s">
        <v>190</v>
      </c>
      <c r="EH141">
        <v>0</v>
      </c>
      <c r="EI141" t="s">
        <v>6</v>
      </c>
      <c r="EJ141">
        <v>4</v>
      </c>
      <c r="EK141">
        <v>1110</v>
      </c>
      <c r="EL141" t="s">
        <v>191</v>
      </c>
      <c r="EM141" t="s">
        <v>192</v>
      </c>
      <c r="EO141" t="s">
        <v>6</v>
      </c>
      <c r="EQ141">
        <v>131072</v>
      </c>
      <c r="ER141">
        <v>43.28</v>
      </c>
      <c r="ES141">
        <v>0</v>
      </c>
      <c r="ET141">
        <v>43.28</v>
      </c>
      <c r="EU141">
        <v>0</v>
      </c>
      <c r="EV141">
        <v>0</v>
      </c>
      <c r="EW141">
        <v>0</v>
      </c>
      <c r="EX141">
        <v>0</v>
      </c>
      <c r="EY141">
        <v>0</v>
      </c>
      <c r="FQ141">
        <v>0</v>
      </c>
      <c r="FR141">
        <f>ROUND(IF(AND(BH141=3,BI141=3),P141,0),2)</f>
        <v>0</v>
      </c>
      <c r="FS141">
        <v>0</v>
      </c>
      <c r="FX141">
        <v>0</v>
      </c>
      <c r="FY141">
        <v>0</v>
      </c>
      <c r="GA141" t="s">
        <v>6</v>
      </c>
      <c r="GD141">
        <v>1</v>
      </c>
      <c r="GF141">
        <v>-1830155644</v>
      </c>
      <c r="GG141">
        <v>2</v>
      </c>
      <c r="GH141">
        <v>1</v>
      </c>
      <c r="GI141">
        <v>2</v>
      </c>
      <c r="GJ141">
        <v>0</v>
      </c>
      <c r="GK141">
        <v>0</v>
      </c>
      <c r="GL141">
        <f>ROUND(IF(AND(BH141=3,BI141=3,FS141&lt;&gt;0),P141,0),2)</f>
        <v>0</v>
      </c>
      <c r="GM141">
        <f>ROUND(O141+X141+Y141,2)+GX141</f>
        <v>4829.4399999999996</v>
      </c>
      <c r="GN141">
        <f>IF(OR(BI141=0,BI141=1),ROUND(O141+X141+Y141,2),0)</f>
        <v>0</v>
      </c>
      <c r="GO141">
        <f>IF(BI141=2,ROUND(O141+X141+Y141,2),0)</f>
        <v>0</v>
      </c>
      <c r="GP141">
        <f>IF(BI141=4,ROUND(O141+X141+Y141,2)+GX141,0)</f>
        <v>4829.4399999999996</v>
      </c>
      <c r="GR141">
        <v>0</v>
      </c>
      <c r="GS141">
        <v>0</v>
      </c>
      <c r="GT141">
        <v>0</v>
      </c>
      <c r="GU141" t="s">
        <v>6</v>
      </c>
      <c r="GV141">
        <f>ROUND((GT141),6)</f>
        <v>0</v>
      </c>
      <c r="GW141">
        <v>1</v>
      </c>
      <c r="GX141">
        <f>ROUND(HC141*I141,2)</f>
        <v>0</v>
      </c>
      <c r="HA141">
        <v>0</v>
      </c>
      <c r="HB141">
        <v>0</v>
      </c>
      <c r="HC141">
        <f>GV141*GW141</f>
        <v>0</v>
      </c>
      <c r="IK141">
        <v>0</v>
      </c>
    </row>
    <row r="143" spans="1:245" x14ac:dyDescent="0.2">
      <c r="A143" s="2">
        <v>51</v>
      </c>
      <c r="B143" s="2">
        <f>B136</f>
        <v>1</v>
      </c>
      <c r="C143" s="2">
        <f>A136</f>
        <v>5</v>
      </c>
      <c r="D143" s="2">
        <f>ROW(A136)</f>
        <v>136</v>
      </c>
      <c r="E143" s="2"/>
      <c r="F143" s="2" t="str">
        <f>IF(F136&lt;&gt;"",F136,"")</f>
        <v>Новый подраздел</v>
      </c>
      <c r="G143" s="2" t="str">
        <f>IF(G136&lt;&gt;"",G136,"")</f>
        <v>Прочие</v>
      </c>
      <c r="H143" s="2">
        <v>0</v>
      </c>
      <c r="I143" s="2"/>
      <c r="J143" s="2"/>
      <c r="K143" s="2"/>
      <c r="L143" s="2"/>
      <c r="M143" s="2"/>
      <c r="N143" s="2"/>
      <c r="O143" s="2">
        <f t="shared" ref="O143:T143" si="194">ROUND(AB143,2)</f>
        <v>15305.23</v>
      </c>
      <c r="P143" s="2">
        <f t="shared" si="194"/>
        <v>0</v>
      </c>
      <c r="Q143" s="2">
        <f t="shared" si="194"/>
        <v>15305.23</v>
      </c>
      <c r="R143" s="2">
        <f t="shared" si="194"/>
        <v>0</v>
      </c>
      <c r="S143" s="2">
        <f t="shared" si="194"/>
        <v>0</v>
      </c>
      <c r="T143" s="2">
        <f t="shared" si="194"/>
        <v>0</v>
      </c>
      <c r="U143" s="2">
        <f>AH143</f>
        <v>0</v>
      </c>
      <c r="V143" s="2">
        <f>AI143</f>
        <v>0</v>
      </c>
      <c r="W143" s="2">
        <f>ROUND(AJ143,2)</f>
        <v>0</v>
      </c>
      <c r="X143" s="2">
        <f>ROUND(AK143,2)</f>
        <v>0</v>
      </c>
      <c r="Y143" s="2">
        <f>ROUND(AL143,2)</f>
        <v>0</v>
      </c>
      <c r="Z143" s="2"/>
      <c r="AA143" s="2"/>
      <c r="AB143" s="2">
        <f>ROUND(SUMIF(AA140:AA141,"=44175489",O140:O141),2)</f>
        <v>15305.23</v>
      </c>
      <c r="AC143" s="2">
        <f>ROUND(SUMIF(AA140:AA141,"=44175489",P140:P141),2)</f>
        <v>0</v>
      </c>
      <c r="AD143" s="2">
        <f>ROUND(SUMIF(AA140:AA141,"=44175489",Q140:Q141),2)</f>
        <v>15305.23</v>
      </c>
      <c r="AE143" s="2">
        <f>ROUND(SUMIF(AA140:AA141,"=44175489",R140:R141),2)</f>
        <v>0</v>
      </c>
      <c r="AF143" s="2">
        <f>ROUND(SUMIF(AA140:AA141,"=44175489",S140:S141),2)</f>
        <v>0</v>
      </c>
      <c r="AG143" s="2">
        <f>ROUND(SUMIF(AA140:AA141,"=44175489",T140:T141),2)</f>
        <v>0</v>
      </c>
      <c r="AH143" s="2">
        <f>SUMIF(AA140:AA141,"=44175489",U140:U141)</f>
        <v>0</v>
      </c>
      <c r="AI143" s="2">
        <f>SUMIF(AA140:AA141,"=44175489",V140:V141)</f>
        <v>0</v>
      </c>
      <c r="AJ143" s="2">
        <f>ROUND(SUMIF(AA140:AA141,"=44175489",W140:W141),2)</f>
        <v>0</v>
      </c>
      <c r="AK143" s="2">
        <f>ROUND(SUMIF(AA140:AA141,"=44175489",X140:X141),2)</f>
        <v>0</v>
      </c>
      <c r="AL143" s="2">
        <f>ROUND(SUMIF(AA140:AA141,"=44175489",Y140:Y141),2)</f>
        <v>0</v>
      </c>
      <c r="AM143" s="2"/>
      <c r="AN143" s="2"/>
      <c r="AO143" s="2">
        <f t="shared" ref="AO143:BD143" si="195">ROUND(BX143,2)</f>
        <v>0</v>
      </c>
      <c r="AP143" s="2">
        <f t="shared" si="195"/>
        <v>0</v>
      </c>
      <c r="AQ143" s="2">
        <f t="shared" si="195"/>
        <v>0</v>
      </c>
      <c r="AR143" s="2">
        <f t="shared" si="195"/>
        <v>15305.23</v>
      </c>
      <c r="AS143" s="2">
        <f t="shared" si="195"/>
        <v>0</v>
      </c>
      <c r="AT143" s="2">
        <f t="shared" si="195"/>
        <v>0</v>
      </c>
      <c r="AU143" s="2">
        <f t="shared" si="195"/>
        <v>15305.23</v>
      </c>
      <c r="AV143" s="2">
        <f t="shared" si="195"/>
        <v>0</v>
      </c>
      <c r="AW143" s="2">
        <f t="shared" si="195"/>
        <v>0</v>
      </c>
      <c r="AX143" s="2">
        <f t="shared" si="195"/>
        <v>0</v>
      </c>
      <c r="AY143" s="2">
        <f t="shared" si="195"/>
        <v>0</v>
      </c>
      <c r="AZ143" s="2">
        <f t="shared" si="195"/>
        <v>0</v>
      </c>
      <c r="BA143" s="2">
        <f t="shared" si="195"/>
        <v>0</v>
      </c>
      <c r="BB143" s="2">
        <f t="shared" si="195"/>
        <v>0</v>
      </c>
      <c r="BC143" s="2">
        <f t="shared" si="195"/>
        <v>0</v>
      </c>
      <c r="BD143" s="2">
        <f t="shared" si="195"/>
        <v>0</v>
      </c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>
        <f>ROUND(SUMIF(AA140:AA141,"=44175489",FQ140:FQ141),2)</f>
        <v>0</v>
      </c>
      <c r="BY143" s="2">
        <f>ROUND(SUMIF(AA140:AA141,"=44175489",FR140:FR141),2)</f>
        <v>0</v>
      </c>
      <c r="BZ143" s="2">
        <f>ROUND(SUMIF(AA140:AA141,"=44175489",GL140:GL141),2)</f>
        <v>0</v>
      </c>
      <c r="CA143" s="2">
        <f>ROUND(SUMIF(AA140:AA141,"=44175489",GM140:GM141),2)</f>
        <v>15305.23</v>
      </c>
      <c r="CB143" s="2">
        <f>ROUND(SUMIF(AA140:AA141,"=44175489",GN140:GN141),2)</f>
        <v>0</v>
      </c>
      <c r="CC143" s="2">
        <f>ROUND(SUMIF(AA140:AA141,"=44175489",GO140:GO141),2)</f>
        <v>0</v>
      </c>
      <c r="CD143" s="2">
        <f>ROUND(SUMIF(AA140:AA141,"=44175489",GP140:GP141),2)</f>
        <v>15305.23</v>
      </c>
      <c r="CE143" s="2">
        <f>AC143-BX143</f>
        <v>0</v>
      </c>
      <c r="CF143" s="2">
        <f>AC143-BY143</f>
        <v>0</v>
      </c>
      <c r="CG143" s="2">
        <f>BX143-BZ143</f>
        <v>0</v>
      </c>
      <c r="CH143" s="2">
        <f>AC143-BX143-BY143+BZ143</f>
        <v>0</v>
      </c>
      <c r="CI143" s="2">
        <f>BY143-BZ143</f>
        <v>0</v>
      </c>
      <c r="CJ143" s="2">
        <f>ROUND(SUMIF(AA140:AA141,"=44175489",GX140:GX141),2)</f>
        <v>0</v>
      </c>
      <c r="CK143" s="2">
        <f>ROUND(SUMIF(AA140:AA141,"=44175489",GY140:GY141),2)</f>
        <v>0</v>
      </c>
      <c r="CL143" s="2">
        <f>ROUND(SUMIF(AA140:AA141,"=44175489",GZ140:GZ141),2)</f>
        <v>0</v>
      </c>
      <c r="CM143" s="2">
        <f>ROUND(SUMIF(AA140:AA141,"=44175489",HD140:HD141),2)</f>
        <v>0</v>
      </c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  <c r="EN143" s="3"/>
      <c r="EO143" s="3"/>
      <c r="EP143" s="3"/>
      <c r="EQ143" s="3"/>
      <c r="ER143" s="3"/>
      <c r="ES143" s="3"/>
      <c r="ET143" s="3"/>
      <c r="EU143" s="3"/>
      <c r="EV143" s="3"/>
      <c r="EW143" s="3"/>
      <c r="EX143" s="3"/>
      <c r="EY143" s="3"/>
      <c r="EZ143" s="3"/>
      <c r="FA143" s="3"/>
      <c r="FB143" s="3"/>
      <c r="FC143" s="3"/>
      <c r="FD143" s="3"/>
      <c r="FE143" s="3"/>
      <c r="FF143" s="3"/>
      <c r="FG143" s="3"/>
      <c r="FH143" s="3"/>
      <c r="FI143" s="3"/>
      <c r="FJ143" s="3"/>
      <c r="FK143" s="3"/>
      <c r="FL143" s="3"/>
      <c r="FM143" s="3"/>
      <c r="FN143" s="3"/>
      <c r="FO143" s="3"/>
      <c r="FP143" s="3"/>
      <c r="FQ143" s="3"/>
      <c r="FR143" s="3"/>
      <c r="FS143" s="3"/>
      <c r="FT143" s="3"/>
      <c r="FU143" s="3"/>
      <c r="FV143" s="3"/>
      <c r="FW143" s="3"/>
      <c r="FX143" s="3"/>
      <c r="FY143" s="3"/>
      <c r="FZ143" s="3"/>
      <c r="GA143" s="3"/>
      <c r="GB143" s="3"/>
      <c r="GC143" s="3"/>
      <c r="GD143" s="3"/>
      <c r="GE143" s="3"/>
      <c r="GF143" s="3"/>
      <c r="GG143" s="3"/>
      <c r="GH143" s="3"/>
      <c r="GI143" s="3"/>
      <c r="GJ143" s="3"/>
      <c r="GK143" s="3"/>
      <c r="GL143" s="3"/>
      <c r="GM143" s="3"/>
      <c r="GN143" s="3"/>
      <c r="GO143" s="3"/>
      <c r="GP143" s="3"/>
      <c r="GQ143" s="3"/>
      <c r="GR143" s="3"/>
      <c r="GS143" s="3"/>
      <c r="GT143" s="3"/>
      <c r="GU143" s="3"/>
      <c r="GV143" s="3"/>
      <c r="GW143" s="3"/>
      <c r="GX143" s="3">
        <v>0</v>
      </c>
    </row>
    <row r="145" spans="1:23" x14ac:dyDescent="0.2">
      <c r="A145" s="4">
        <v>50</v>
      </c>
      <c r="B145" s="4">
        <v>0</v>
      </c>
      <c r="C145" s="4">
        <v>0</v>
      </c>
      <c r="D145" s="4">
        <v>1</v>
      </c>
      <c r="E145" s="4">
        <v>201</v>
      </c>
      <c r="F145" s="4">
        <f>ROUND(Source!O143,O145)</f>
        <v>15305.23</v>
      </c>
      <c r="G145" s="4" t="s">
        <v>120</v>
      </c>
      <c r="H145" s="4" t="s">
        <v>121</v>
      </c>
      <c r="I145" s="4"/>
      <c r="J145" s="4"/>
      <c r="K145" s="4">
        <v>201</v>
      </c>
      <c r="L145" s="4">
        <v>1</v>
      </c>
      <c r="M145" s="4">
        <v>3</v>
      </c>
      <c r="N145" s="4" t="s">
        <v>6</v>
      </c>
      <c r="O145" s="4">
        <v>2</v>
      </c>
      <c r="P145" s="4"/>
      <c r="Q145" s="4"/>
      <c r="R145" s="4"/>
      <c r="S145" s="4"/>
      <c r="T145" s="4"/>
      <c r="U145" s="4"/>
      <c r="V145" s="4"/>
      <c r="W145" s="4"/>
    </row>
    <row r="146" spans="1:23" x14ac:dyDescent="0.2">
      <c r="A146" s="4">
        <v>50</v>
      </c>
      <c r="B146" s="4">
        <v>0</v>
      </c>
      <c r="C146" s="4">
        <v>0</v>
      </c>
      <c r="D146" s="4">
        <v>1</v>
      </c>
      <c r="E146" s="4">
        <v>202</v>
      </c>
      <c r="F146" s="4">
        <f>ROUND(Source!P143,O146)</f>
        <v>0</v>
      </c>
      <c r="G146" s="4" t="s">
        <v>122</v>
      </c>
      <c r="H146" s="4" t="s">
        <v>123</v>
      </c>
      <c r="I146" s="4"/>
      <c r="J146" s="4"/>
      <c r="K146" s="4">
        <v>202</v>
      </c>
      <c r="L146" s="4">
        <v>2</v>
      </c>
      <c r="M146" s="4">
        <v>3</v>
      </c>
      <c r="N146" s="4" t="s">
        <v>6</v>
      </c>
      <c r="O146" s="4">
        <v>2</v>
      </c>
      <c r="P146" s="4"/>
      <c r="Q146" s="4"/>
      <c r="R146" s="4"/>
      <c r="S146" s="4"/>
      <c r="T146" s="4"/>
      <c r="U146" s="4"/>
      <c r="V146" s="4"/>
      <c r="W146" s="4"/>
    </row>
    <row r="147" spans="1:23" x14ac:dyDescent="0.2">
      <c r="A147" s="4">
        <v>50</v>
      </c>
      <c r="B147" s="4">
        <v>0</v>
      </c>
      <c r="C147" s="4">
        <v>0</v>
      </c>
      <c r="D147" s="4">
        <v>1</v>
      </c>
      <c r="E147" s="4">
        <v>222</v>
      </c>
      <c r="F147" s="4">
        <f>ROUND(Source!AO143,O147)</f>
        <v>0</v>
      </c>
      <c r="G147" s="4" t="s">
        <v>124</v>
      </c>
      <c r="H147" s="4" t="s">
        <v>125</v>
      </c>
      <c r="I147" s="4"/>
      <c r="J147" s="4"/>
      <c r="K147" s="4">
        <v>222</v>
      </c>
      <c r="L147" s="4">
        <v>3</v>
      </c>
      <c r="M147" s="4">
        <v>3</v>
      </c>
      <c r="N147" s="4" t="s">
        <v>6</v>
      </c>
      <c r="O147" s="4">
        <v>2</v>
      </c>
      <c r="P147" s="4"/>
      <c r="Q147" s="4"/>
      <c r="R147" s="4"/>
      <c r="S147" s="4"/>
      <c r="T147" s="4"/>
      <c r="U147" s="4"/>
      <c r="V147" s="4"/>
      <c r="W147" s="4"/>
    </row>
    <row r="148" spans="1:23" x14ac:dyDescent="0.2">
      <c r="A148" s="4">
        <v>50</v>
      </c>
      <c r="B148" s="4">
        <v>0</v>
      </c>
      <c r="C148" s="4">
        <v>0</v>
      </c>
      <c r="D148" s="4">
        <v>1</v>
      </c>
      <c r="E148" s="4">
        <v>225</v>
      </c>
      <c r="F148" s="4">
        <f>ROUND(Source!AV143,O148)</f>
        <v>0</v>
      </c>
      <c r="G148" s="4" t="s">
        <v>126</v>
      </c>
      <c r="H148" s="4" t="s">
        <v>127</v>
      </c>
      <c r="I148" s="4"/>
      <c r="J148" s="4"/>
      <c r="K148" s="4">
        <v>225</v>
      </c>
      <c r="L148" s="4">
        <v>4</v>
      </c>
      <c r="M148" s="4">
        <v>3</v>
      </c>
      <c r="N148" s="4" t="s">
        <v>6</v>
      </c>
      <c r="O148" s="4">
        <v>2</v>
      </c>
      <c r="P148" s="4"/>
      <c r="Q148" s="4"/>
      <c r="R148" s="4"/>
      <c r="S148" s="4"/>
      <c r="T148" s="4"/>
      <c r="U148" s="4"/>
      <c r="V148" s="4"/>
      <c r="W148" s="4"/>
    </row>
    <row r="149" spans="1:23" x14ac:dyDescent="0.2">
      <c r="A149" s="4">
        <v>50</v>
      </c>
      <c r="B149" s="4">
        <v>0</v>
      </c>
      <c r="C149" s="4">
        <v>0</v>
      </c>
      <c r="D149" s="4">
        <v>1</v>
      </c>
      <c r="E149" s="4">
        <v>226</v>
      </c>
      <c r="F149" s="4">
        <f>ROUND(Source!AW143,O149)</f>
        <v>0</v>
      </c>
      <c r="G149" s="4" t="s">
        <v>128</v>
      </c>
      <c r="H149" s="4" t="s">
        <v>129</v>
      </c>
      <c r="I149" s="4"/>
      <c r="J149" s="4"/>
      <c r="K149" s="4">
        <v>226</v>
      </c>
      <c r="L149" s="4">
        <v>5</v>
      </c>
      <c r="M149" s="4">
        <v>3</v>
      </c>
      <c r="N149" s="4" t="s">
        <v>6</v>
      </c>
      <c r="O149" s="4">
        <v>2</v>
      </c>
      <c r="P149" s="4"/>
      <c r="Q149" s="4"/>
      <c r="R149" s="4"/>
      <c r="S149" s="4"/>
      <c r="T149" s="4"/>
      <c r="U149" s="4"/>
      <c r="V149" s="4"/>
      <c r="W149" s="4"/>
    </row>
    <row r="150" spans="1:23" x14ac:dyDescent="0.2">
      <c r="A150" s="4">
        <v>50</v>
      </c>
      <c r="B150" s="4">
        <v>0</v>
      </c>
      <c r="C150" s="4">
        <v>0</v>
      </c>
      <c r="D150" s="4">
        <v>1</v>
      </c>
      <c r="E150" s="4">
        <v>227</v>
      </c>
      <c r="F150" s="4">
        <f>ROUND(Source!AX143,O150)</f>
        <v>0</v>
      </c>
      <c r="G150" s="4" t="s">
        <v>130</v>
      </c>
      <c r="H150" s="4" t="s">
        <v>131</v>
      </c>
      <c r="I150" s="4"/>
      <c r="J150" s="4"/>
      <c r="K150" s="4">
        <v>227</v>
      </c>
      <c r="L150" s="4">
        <v>6</v>
      </c>
      <c r="M150" s="4">
        <v>3</v>
      </c>
      <c r="N150" s="4" t="s">
        <v>6</v>
      </c>
      <c r="O150" s="4">
        <v>2</v>
      </c>
      <c r="P150" s="4"/>
      <c r="Q150" s="4"/>
      <c r="R150" s="4"/>
      <c r="S150" s="4"/>
      <c r="T150" s="4"/>
      <c r="U150" s="4"/>
      <c r="V150" s="4"/>
      <c r="W150" s="4"/>
    </row>
    <row r="151" spans="1:23" x14ac:dyDescent="0.2">
      <c r="A151" s="4">
        <v>50</v>
      </c>
      <c r="B151" s="4">
        <v>0</v>
      </c>
      <c r="C151" s="4">
        <v>0</v>
      </c>
      <c r="D151" s="4">
        <v>1</v>
      </c>
      <c r="E151" s="4">
        <v>228</v>
      </c>
      <c r="F151" s="4">
        <f>ROUND(Source!AY143,O151)</f>
        <v>0</v>
      </c>
      <c r="G151" s="4" t="s">
        <v>132</v>
      </c>
      <c r="H151" s="4" t="s">
        <v>133</v>
      </c>
      <c r="I151" s="4"/>
      <c r="J151" s="4"/>
      <c r="K151" s="4">
        <v>228</v>
      </c>
      <c r="L151" s="4">
        <v>7</v>
      </c>
      <c r="M151" s="4">
        <v>3</v>
      </c>
      <c r="N151" s="4" t="s">
        <v>6</v>
      </c>
      <c r="O151" s="4">
        <v>2</v>
      </c>
      <c r="P151" s="4"/>
      <c r="Q151" s="4"/>
      <c r="R151" s="4"/>
      <c r="S151" s="4"/>
      <c r="T151" s="4"/>
      <c r="U151" s="4"/>
      <c r="V151" s="4"/>
      <c r="W151" s="4"/>
    </row>
    <row r="152" spans="1:23" x14ac:dyDescent="0.2">
      <c r="A152" s="4">
        <v>50</v>
      </c>
      <c r="B152" s="4">
        <v>0</v>
      </c>
      <c r="C152" s="4">
        <v>0</v>
      </c>
      <c r="D152" s="4">
        <v>1</v>
      </c>
      <c r="E152" s="4">
        <v>216</v>
      </c>
      <c r="F152" s="4">
        <f>ROUND(Source!AP143,O152)</f>
        <v>0</v>
      </c>
      <c r="G152" s="4" t="s">
        <v>134</v>
      </c>
      <c r="H152" s="4" t="s">
        <v>135</v>
      </c>
      <c r="I152" s="4"/>
      <c r="J152" s="4"/>
      <c r="K152" s="4">
        <v>216</v>
      </c>
      <c r="L152" s="4">
        <v>8</v>
      </c>
      <c r="M152" s="4">
        <v>3</v>
      </c>
      <c r="N152" s="4" t="s">
        <v>6</v>
      </c>
      <c r="O152" s="4">
        <v>2</v>
      </c>
      <c r="P152" s="4"/>
      <c r="Q152" s="4"/>
      <c r="R152" s="4"/>
      <c r="S152" s="4"/>
      <c r="T152" s="4"/>
      <c r="U152" s="4"/>
      <c r="V152" s="4"/>
      <c r="W152" s="4"/>
    </row>
    <row r="153" spans="1:23" x14ac:dyDescent="0.2">
      <c r="A153" s="4">
        <v>50</v>
      </c>
      <c r="B153" s="4">
        <v>0</v>
      </c>
      <c r="C153" s="4">
        <v>0</v>
      </c>
      <c r="D153" s="4">
        <v>1</v>
      </c>
      <c r="E153" s="4">
        <v>223</v>
      </c>
      <c r="F153" s="4">
        <f>ROUND(Source!AQ143,O153)</f>
        <v>0</v>
      </c>
      <c r="G153" s="4" t="s">
        <v>136</v>
      </c>
      <c r="H153" s="4" t="s">
        <v>137</v>
      </c>
      <c r="I153" s="4"/>
      <c r="J153" s="4"/>
      <c r="K153" s="4">
        <v>223</v>
      </c>
      <c r="L153" s="4">
        <v>9</v>
      </c>
      <c r="M153" s="4">
        <v>3</v>
      </c>
      <c r="N153" s="4" t="s">
        <v>6</v>
      </c>
      <c r="O153" s="4">
        <v>2</v>
      </c>
      <c r="P153" s="4"/>
      <c r="Q153" s="4"/>
      <c r="R153" s="4"/>
      <c r="S153" s="4"/>
      <c r="T153" s="4"/>
      <c r="U153" s="4"/>
      <c r="V153" s="4"/>
      <c r="W153" s="4"/>
    </row>
    <row r="154" spans="1:23" x14ac:dyDescent="0.2">
      <c r="A154" s="4">
        <v>50</v>
      </c>
      <c r="B154" s="4">
        <v>0</v>
      </c>
      <c r="C154" s="4">
        <v>0</v>
      </c>
      <c r="D154" s="4">
        <v>1</v>
      </c>
      <c r="E154" s="4">
        <v>229</v>
      </c>
      <c r="F154" s="4">
        <f>ROUND(Source!AZ143,O154)</f>
        <v>0</v>
      </c>
      <c r="G154" s="4" t="s">
        <v>138</v>
      </c>
      <c r="H154" s="4" t="s">
        <v>139</v>
      </c>
      <c r="I154" s="4"/>
      <c r="J154" s="4"/>
      <c r="K154" s="4">
        <v>229</v>
      </c>
      <c r="L154" s="4">
        <v>10</v>
      </c>
      <c r="M154" s="4">
        <v>3</v>
      </c>
      <c r="N154" s="4" t="s">
        <v>6</v>
      </c>
      <c r="O154" s="4">
        <v>2</v>
      </c>
      <c r="P154" s="4"/>
      <c r="Q154" s="4"/>
      <c r="R154" s="4"/>
      <c r="S154" s="4"/>
      <c r="T154" s="4"/>
      <c r="U154" s="4"/>
      <c r="V154" s="4"/>
      <c r="W154" s="4"/>
    </row>
    <row r="155" spans="1:23" x14ac:dyDescent="0.2">
      <c r="A155" s="4">
        <v>50</v>
      </c>
      <c r="B155" s="4">
        <v>0</v>
      </c>
      <c r="C155" s="4">
        <v>0</v>
      </c>
      <c r="D155" s="4">
        <v>1</v>
      </c>
      <c r="E155" s="4">
        <v>203</v>
      </c>
      <c r="F155" s="4">
        <f>ROUND(Source!Q143,O155)</f>
        <v>15305.23</v>
      </c>
      <c r="G155" s="4" t="s">
        <v>140</v>
      </c>
      <c r="H155" s="4" t="s">
        <v>141</v>
      </c>
      <c r="I155" s="4"/>
      <c r="J155" s="4"/>
      <c r="K155" s="4">
        <v>203</v>
      </c>
      <c r="L155" s="4">
        <v>11</v>
      </c>
      <c r="M155" s="4">
        <v>3</v>
      </c>
      <c r="N155" s="4" t="s">
        <v>6</v>
      </c>
      <c r="O155" s="4">
        <v>2</v>
      </c>
      <c r="P155" s="4"/>
      <c r="Q155" s="4"/>
      <c r="R155" s="4"/>
      <c r="S155" s="4"/>
      <c r="T155" s="4"/>
      <c r="U155" s="4"/>
      <c r="V155" s="4"/>
      <c r="W155" s="4"/>
    </row>
    <row r="156" spans="1:23" x14ac:dyDescent="0.2">
      <c r="A156" s="4">
        <v>50</v>
      </c>
      <c r="B156" s="4">
        <v>0</v>
      </c>
      <c r="C156" s="4">
        <v>0</v>
      </c>
      <c r="D156" s="4">
        <v>1</v>
      </c>
      <c r="E156" s="4">
        <v>231</v>
      </c>
      <c r="F156" s="4">
        <f>ROUND(Source!BB143,O156)</f>
        <v>0</v>
      </c>
      <c r="G156" s="4" t="s">
        <v>142</v>
      </c>
      <c r="H156" s="4" t="s">
        <v>143</v>
      </c>
      <c r="I156" s="4"/>
      <c r="J156" s="4"/>
      <c r="K156" s="4">
        <v>231</v>
      </c>
      <c r="L156" s="4">
        <v>12</v>
      </c>
      <c r="M156" s="4">
        <v>3</v>
      </c>
      <c r="N156" s="4" t="s">
        <v>6</v>
      </c>
      <c r="O156" s="4">
        <v>2</v>
      </c>
      <c r="P156" s="4"/>
      <c r="Q156" s="4"/>
      <c r="R156" s="4"/>
      <c r="S156" s="4"/>
      <c r="T156" s="4"/>
      <c r="U156" s="4"/>
      <c r="V156" s="4"/>
      <c r="W156" s="4"/>
    </row>
    <row r="157" spans="1:23" x14ac:dyDescent="0.2">
      <c r="A157" s="4">
        <v>50</v>
      </c>
      <c r="B157" s="4">
        <v>0</v>
      </c>
      <c r="C157" s="4">
        <v>0</v>
      </c>
      <c r="D157" s="4">
        <v>1</v>
      </c>
      <c r="E157" s="4">
        <v>204</v>
      </c>
      <c r="F157" s="4">
        <f>ROUND(Source!R143,O157)</f>
        <v>0</v>
      </c>
      <c r="G157" s="4" t="s">
        <v>144</v>
      </c>
      <c r="H157" s="4" t="s">
        <v>145</v>
      </c>
      <c r="I157" s="4"/>
      <c r="J157" s="4"/>
      <c r="K157" s="4">
        <v>204</v>
      </c>
      <c r="L157" s="4">
        <v>13</v>
      </c>
      <c r="M157" s="4">
        <v>3</v>
      </c>
      <c r="N157" s="4" t="s">
        <v>6</v>
      </c>
      <c r="O157" s="4">
        <v>2</v>
      </c>
      <c r="P157" s="4"/>
      <c r="Q157" s="4"/>
      <c r="R157" s="4"/>
      <c r="S157" s="4"/>
      <c r="T157" s="4"/>
      <c r="U157" s="4"/>
      <c r="V157" s="4"/>
      <c r="W157" s="4"/>
    </row>
    <row r="158" spans="1:23" x14ac:dyDescent="0.2">
      <c r="A158" s="4">
        <v>50</v>
      </c>
      <c r="B158" s="4">
        <v>0</v>
      </c>
      <c r="C158" s="4">
        <v>0</v>
      </c>
      <c r="D158" s="4">
        <v>1</v>
      </c>
      <c r="E158" s="4">
        <v>205</v>
      </c>
      <c r="F158" s="4">
        <f>ROUND(Source!S143,O158)</f>
        <v>0</v>
      </c>
      <c r="G158" s="4" t="s">
        <v>146</v>
      </c>
      <c r="H158" s="4" t="s">
        <v>147</v>
      </c>
      <c r="I158" s="4"/>
      <c r="J158" s="4"/>
      <c r="K158" s="4">
        <v>205</v>
      </c>
      <c r="L158" s="4">
        <v>14</v>
      </c>
      <c r="M158" s="4">
        <v>3</v>
      </c>
      <c r="N158" s="4" t="s">
        <v>6</v>
      </c>
      <c r="O158" s="4">
        <v>2</v>
      </c>
      <c r="P158" s="4"/>
      <c r="Q158" s="4"/>
      <c r="R158" s="4"/>
      <c r="S158" s="4"/>
      <c r="T158" s="4"/>
      <c r="U158" s="4"/>
      <c r="V158" s="4"/>
      <c r="W158" s="4"/>
    </row>
    <row r="159" spans="1:23" x14ac:dyDescent="0.2">
      <c r="A159" s="4">
        <v>50</v>
      </c>
      <c r="B159" s="4">
        <v>0</v>
      </c>
      <c r="C159" s="4">
        <v>0</v>
      </c>
      <c r="D159" s="4">
        <v>1</v>
      </c>
      <c r="E159" s="4">
        <v>232</v>
      </c>
      <c r="F159" s="4">
        <f>ROUND(Source!BC143,O159)</f>
        <v>0</v>
      </c>
      <c r="G159" s="4" t="s">
        <v>148</v>
      </c>
      <c r="H159" s="4" t="s">
        <v>149</v>
      </c>
      <c r="I159" s="4"/>
      <c r="J159" s="4"/>
      <c r="K159" s="4">
        <v>232</v>
      </c>
      <c r="L159" s="4">
        <v>15</v>
      </c>
      <c r="M159" s="4">
        <v>3</v>
      </c>
      <c r="N159" s="4" t="s">
        <v>6</v>
      </c>
      <c r="O159" s="4">
        <v>2</v>
      </c>
      <c r="P159" s="4"/>
      <c r="Q159" s="4"/>
      <c r="R159" s="4"/>
      <c r="S159" s="4"/>
      <c r="T159" s="4"/>
      <c r="U159" s="4"/>
      <c r="V159" s="4"/>
      <c r="W159" s="4"/>
    </row>
    <row r="160" spans="1:23" x14ac:dyDescent="0.2">
      <c r="A160" s="4">
        <v>50</v>
      </c>
      <c r="B160" s="4">
        <v>0</v>
      </c>
      <c r="C160" s="4">
        <v>0</v>
      </c>
      <c r="D160" s="4">
        <v>1</v>
      </c>
      <c r="E160" s="4">
        <v>214</v>
      </c>
      <c r="F160" s="4">
        <f>ROUND(Source!AS143,O160)</f>
        <v>0</v>
      </c>
      <c r="G160" s="4" t="s">
        <v>150</v>
      </c>
      <c r="H160" s="4" t="s">
        <v>151</v>
      </c>
      <c r="I160" s="4"/>
      <c r="J160" s="4"/>
      <c r="K160" s="4">
        <v>214</v>
      </c>
      <c r="L160" s="4">
        <v>16</v>
      </c>
      <c r="M160" s="4">
        <v>3</v>
      </c>
      <c r="N160" s="4" t="s">
        <v>6</v>
      </c>
      <c r="O160" s="4">
        <v>2</v>
      </c>
      <c r="P160" s="4"/>
      <c r="Q160" s="4"/>
      <c r="R160" s="4"/>
      <c r="S160" s="4"/>
      <c r="T160" s="4"/>
      <c r="U160" s="4"/>
      <c r="V160" s="4"/>
      <c r="W160" s="4"/>
    </row>
    <row r="161" spans="1:206" x14ac:dyDescent="0.2">
      <c r="A161" s="4">
        <v>50</v>
      </c>
      <c r="B161" s="4">
        <v>0</v>
      </c>
      <c r="C161" s="4">
        <v>0</v>
      </c>
      <c r="D161" s="4">
        <v>1</v>
      </c>
      <c r="E161" s="4">
        <v>215</v>
      </c>
      <c r="F161" s="4">
        <f>ROUND(Source!AT143,O161)</f>
        <v>0</v>
      </c>
      <c r="G161" s="4" t="s">
        <v>152</v>
      </c>
      <c r="H161" s="4" t="s">
        <v>153</v>
      </c>
      <c r="I161" s="4"/>
      <c r="J161" s="4"/>
      <c r="K161" s="4">
        <v>215</v>
      </c>
      <c r="L161" s="4">
        <v>17</v>
      </c>
      <c r="M161" s="4">
        <v>3</v>
      </c>
      <c r="N161" s="4" t="s">
        <v>6</v>
      </c>
      <c r="O161" s="4">
        <v>2</v>
      </c>
      <c r="P161" s="4"/>
      <c r="Q161" s="4"/>
      <c r="R161" s="4"/>
      <c r="S161" s="4"/>
      <c r="T161" s="4"/>
      <c r="U161" s="4"/>
      <c r="V161" s="4"/>
      <c r="W161" s="4"/>
    </row>
    <row r="162" spans="1:206" x14ac:dyDescent="0.2">
      <c r="A162" s="4">
        <v>50</v>
      </c>
      <c r="B162" s="4">
        <v>0</v>
      </c>
      <c r="C162" s="4">
        <v>0</v>
      </c>
      <c r="D162" s="4">
        <v>1</v>
      </c>
      <c r="E162" s="4">
        <v>217</v>
      </c>
      <c r="F162" s="4">
        <f>ROUND(Source!AU143,O162)</f>
        <v>15305.23</v>
      </c>
      <c r="G162" s="4" t="s">
        <v>154</v>
      </c>
      <c r="H162" s="4" t="s">
        <v>155</v>
      </c>
      <c r="I162" s="4"/>
      <c r="J162" s="4"/>
      <c r="K162" s="4">
        <v>217</v>
      </c>
      <c r="L162" s="4">
        <v>18</v>
      </c>
      <c r="M162" s="4">
        <v>3</v>
      </c>
      <c r="N162" s="4" t="s">
        <v>6</v>
      </c>
      <c r="O162" s="4">
        <v>2</v>
      </c>
      <c r="P162" s="4"/>
      <c r="Q162" s="4"/>
      <c r="R162" s="4"/>
      <c r="S162" s="4"/>
      <c r="T162" s="4"/>
      <c r="U162" s="4"/>
      <c r="V162" s="4"/>
      <c r="W162" s="4"/>
    </row>
    <row r="163" spans="1:206" x14ac:dyDescent="0.2">
      <c r="A163" s="4">
        <v>50</v>
      </c>
      <c r="B163" s="4">
        <v>0</v>
      </c>
      <c r="C163" s="4">
        <v>0</v>
      </c>
      <c r="D163" s="4">
        <v>1</v>
      </c>
      <c r="E163" s="4">
        <v>230</v>
      </c>
      <c r="F163" s="4">
        <f>ROUND(Source!BA143,O163)</f>
        <v>0</v>
      </c>
      <c r="G163" s="4" t="s">
        <v>156</v>
      </c>
      <c r="H163" s="4" t="s">
        <v>157</v>
      </c>
      <c r="I163" s="4"/>
      <c r="J163" s="4"/>
      <c r="K163" s="4">
        <v>230</v>
      </c>
      <c r="L163" s="4">
        <v>19</v>
      </c>
      <c r="M163" s="4">
        <v>3</v>
      </c>
      <c r="N163" s="4" t="s">
        <v>6</v>
      </c>
      <c r="O163" s="4">
        <v>2</v>
      </c>
      <c r="P163" s="4"/>
      <c r="Q163" s="4"/>
      <c r="R163" s="4"/>
      <c r="S163" s="4"/>
      <c r="T163" s="4"/>
      <c r="U163" s="4"/>
      <c r="V163" s="4"/>
      <c r="W163" s="4"/>
    </row>
    <row r="164" spans="1:206" x14ac:dyDescent="0.2">
      <c r="A164" s="4">
        <v>50</v>
      </c>
      <c r="B164" s="4">
        <v>0</v>
      </c>
      <c r="C164" s="4">
        <v>0</v>
      </c>
      <c r="D164" s="4">
        <v>1</v>
      </c>
      <c r="E164" s="4">
        <v>206</v>
      </c>
      <c r="F164" s="4">
        <f>ROUND(Source!T143,O164)</f>
        <v>0</v>
      </c>
      <c r="G164" s="4" t="s">
        <v>158</v>
      </c>
      <c r="H164" s="4" t="s">
        <v>159</v>
      </c>
      <c r="I164" s="4"/>
      <c r="J164" s="4"/>
      <c r="K164" s="4">
        <v>206</v>
      </c>
      <c r="L164" s="4">
        <v>20</v>
      </c>
      <c r="M164" s="4">
        <v>3</v>
      </c>
      <c r="N164" s="4" t="s">
        <v>6</v>
      </c>
      <c r="O164" s="4">
        <v>2</v>
      </c>
      <c r="P164" s="4"/>
      <c r="Q164" s="4"/>
      <c r="R164" s="4"/>
      <c r="S164" s="4"/>
      <c r="T164" s="4"/>
      <c r="U164" s="4"/>
      <c r="V164" s="4"/>
      <c r="W164" s="4"/>
    </row>
    <row r="165" spans="1:206" x14ac:dyDescent="0.2">
      <c r="A165" s="4">
        <v>50</v>
      </c>
      <c r="B165" s="4">
        <v>0</v>
      </c>
      <c r="C165" s="4">
        <v>0</v>
      </c>
      <c r="D165" s="4">
        <v>1</v>
      </c>
      <c r="E165" s="4">
        <v>207</v>
      </c>
      <c r="F165" s="4">
        <f>Source!U143</f>
        <v>0</v>
      </c>
      <c r="G165" s="4" t="s">
        <v>160</v>
      </c>
      <c r="H165" s="4" t="s">
        <v>161</v>
      </c>
      <c r="I165" s="4"/>
      <c r="J165" s="4"/>
      <c r="K165" s="4">
        <v>207</v>
      </c>
      <c r="L165" s="4">
        <v>21</v>
      </c>
      <c r="M165" s="4">
        <v>3</v>
      </c>
      <c r="N165" s="4" t="s">
        <v>6</v>
      </c>
      <c r="O165" s="4">
        <v>-1</v>
      </c>
      <c r="P165" s="4"/>
      <c r="Q165" s="4"/>
      <c r="R165" s="4"/>
      <c r="S165" s="4"/>
      <c r="T165" s="4"/>
      <c r="U165" s="4"/>
      <c r="V165" s="4"/>
      <c r="W165" s="4"/>
    </row>
    <row r="166" spans="1:206" x14ac:dyDescent="0.2">
      <c r="A166" s="4">
        <v>50</v>
      </c>
      <c r="B166" s="4">
        <v>0</v>
      </c>
      <c r="C166" s="4">
        <v>0</v>
      </c>
      <c r="D166" s="4">
        <v>1</v>
      </c>
      <c r="E166" s="4">
        <v>208</v>
      </c>
      <c r="F166" s="4">
        <f>Source!V143</f>
        <v>0</v>
      </c>
      <c r="G166" s="4" t="s">
        <v>162</v>
      </c>
      <c r="H166" s="4" t="s">
        <v>163</v>
      </c>
      <c r="I166" s="4"/>
      <c r="J166" s="4"/>
      <c r="K166" s="4">
        <v>208</v>
      </c>
      <c r="L166" s="4">
        <v>22</v>
      </c>
      <c r="M166" s="4">
        <v>3</v>
      </c>
      <c r="N166" s="4" t="s">
        <v>6</v>
      </c>
      <c r="O166" s="4">
        <v>-1</v>
      </c>
      <c r="P166" s="4"/>
      <c r="Q166" s="4"/>
      <c r="R166" s="4"/>
      <c r="S166" s="4"/>
      <c r="T166" s="4"/>
      <c r="U166" s="4"/>
      <c r="V166" s="4"/>
      <c r="W166" s="4"/>
    </row>
    <row r="167" spans="1:206" x14ac:dyDescent="0.2">
      <c r="A167" s="4">
        <v>50</v>
      </c>
      <c r="B167" s="4">
        <v>0</v>
      </c>
      <c r="C167" s="4">
        <v>0</v>
      </c>
      <c r="D167" s="4">
        <v>1</v>
      </c>
      <c r="E167" s="4">
        <v>209</v>
      </c>
      <c r="F167" s="4">
        <f>ROUND(Source!W143,O167)</f>
        <v>0</v>
      </c>
      <c r="G167" s="4" t="s">
        <v>164</v>
      </c>
      <c r="H167" s="4" t="s">
        <v>165</v>
      </c>
      <c r="I167" s="4"/>
      <c r="J167" s="4"/>
      <c r="K167" s="4">
        <v>209</v>
      </c>
      <c r="L167" s="4">
        <v>23</v>
      </c>
      <c r="M167" s="4">
        <v>3</v>
      </c>
      <c r="N167" s="4" t="s">
        <v>6</v>
      </c>
      <c r="O167" s="4">
        <v>2</v>
      </c>
      <c r="P167" s="4"/>
      <c r="Q167" s="4"/>
      <c r="R167" s="4"/>
      <c r="S167" s="4"/>
      <c r="T167" s="4"/>
      <c r="U167" s="4"/>
      <c r="V167" s="4"/>
      <c r="W167" s="4"/>
    </row>
    <row r="168" spans="1:206" x14ac:dyDescent="0.2">
      <c r="A168" s="4">
        <v>50</v>
      </c>
      <c r="B168" s="4">
        <v>0</v>
      </c>
      <c r="C168" s="4">
        <v>0</v>
      </c>
      <c r="D168" s="4">
        <v>1</v>
      </c>
      <c r="E168" s="4">
        <v>233</v>
      </c>
      <c r="F168" s="4">
        <f>ROUND(Source!BD143,O168)</f>
        <v>0</v>
      </c>
      <c r="G168" s="4" t="s">
        <v>166</v>
      </c>
      <c r="H168" s="4" t="s">
        <v>167</v>
      </c>
      <c r="I168" s="4"/>
      <c r="J168" s="4"/>
      <c r="K168" s="4">
        <v>233</v>
      </c>
      <c r="L168" s="4">
        <v>24</v>
      </c>
      <c r="M168" s="4">
        <v>3</v>
      </c>
      <c r="N168" s="4" t="s">
        <v>6</v>
      </c>
      <c r="O168" s="4">
        <v>2</v>
      </c>
      <c r="P168" s="4"/>
      <c r="Q168" s="4"/>
      <c r="R168" s="4"/>
      <c r="S168" s="4"/>
      <c r="T168" s="4"/>
      <c r="U168" s="4"/>
      <c r="V168" s="4"/>
      <c r="W168" s="4"/>
    </row>
    <row r="169" spans="1:206" x14ac:dyDescent="0.2">
      <c r="A169" s="4">
        <v>50</v>
      </c>
      <c r="B169" s="4">
        <v>0</v>
      </c>
      <c r="C169" s="4">
        <v>0</v>
      </c>
      <c r="D169" s="4">
        <v>1</v>
      </c>
      <c r="E169" s="4">
        <v>210</v>
      </c>
      <c r="F169" s="4">
        <f>ROUND(Source!X143,O169)</f>
        <v>0</v>
      </c>
      <c r="G169" s="4" t="s">
        <v>168</v>
      </c>
      <c r="H169" s="4" t="s">
        <v>169</v>
      </c>
      <c r="I169" s="4"/>
      <c r="J169" s="4"/>
      <c r="K169" s="4">
        <v>210</v>
      </c>
      <c r="L169" s="4">
        <v>25</v>
      </c>
      <c r="M169" s="4">
        <v>3</v>
      </c>
      <c r="N169" s="4" t="s">
        <v>6</v>
      </c>
      <c r="O169" s="4">
        <v>2</v>
      </c>
      <c r="P169" s="4"/>
      <c r="Q169" s="4"/>
      <c r="R169" s="4"/>
      <c r="S169" s="4"/>
      <c r="T169" s="4"/>
      <c r="U169" s="4"/>
      <c r="V169" s="4"/>
      <c r="W169" s="4"/>
    </row>
    <row r="170" spans="1:206" x14ac:dyDescent="0.2">
      <c r="A170" s="4">
        <v>50</v>
      </c>
      <c r="B170" s="4">
        <v>0</v>
      </c>
      <c r="C170" s="4">
        <v>0</v>
      </c>
      <c r="D170" s="4">
        <v>1</v>
      </c>
      <c r="E170" s="4">
        <v>211</v>
      </c>
      <c r="F170" s="4">
        <f>ROUND(Source!Y143,O170)</f>
        <v>0</v>
      </c>
      <c r="G170" s="4" t="s">
        <v>170</v>
      </c>
      <c r="H170" s="4" t="s">
        <v>171</v>
      </c>
      <c r="I170" s="4"/>
      <c r="J170" s="4"/>
      <c r="K170" s="4">
        <v>211</v>
      </c>
      <c r="L170" s="4">
        <v>26</v>
      </c>
      <c r="M170" s="4">
        <v>3</v>
      </c>
      <c r="N170" s="4" t="s">
        <v>6</v>
      </c>
      <c r="O170" s="4">
        <v>2</v>
      </c>
      <c r="P170" s="4"/>
      <c r="Q170" s="4"/>
      <c r="R170" s="4"/>
      <c r="S170" s="4"/>
      <c r="T170" s="4"/>
      <c r="U170" s="4"/>
      <c r="V170" s="4"/>
      <c r="W170" s="4"/>
    </row>
    <row r="171" spans="1:206" x14ac:dyDescent="0.2">
      <c r="A171" s="4">
        <v>50</v>
      </c>
      <c r="B171" s="4">
        <v>0</v>
      </c>
      <c r="C171" s="4">
        <v>0</v>
      </c>
      <c r="D171" s="4">
        <v>1</v>
      </c>
      <c r="E171" s="4">
        <v>224</v>
      </c>
      <c r="F171" s="4">
        <f>ROUND(Source!AR143,O171)</f>
        <v>15305.23</v>
      </c>
      <c r="G171" s="4" t="s">
        <v>172</v>
      </c>
      <c r="H171" s="4" t="s">
        <v>173</v>
      </c>
      <c r="I171" s="4"/>
      <c r="J171" s="4"/>
      <c r="K171" s="4">
        <v>224</v>
      </c>
      <c r="L171" s="4">
        <v>27</v>
      </c>
      <c r="M171" s="4">
        <v>3</v>
      </c>
      <c r="N171" s="4" t="s">
        <v>6</v>
      </c>
      <c r="O171" s="4">
        <v>2</v>
      </c>
      <c r="P171" s="4"/>
      <c r="Q171" s="4"/>
      <c r="R171" s="4"/>
      <c r="S171" s="4"/>
      <c r="T171" s="4"/>
      <c r="U171" s="4"/>
      <c r="V171" s="4"/>
      <c r="W171" s="4"/>
    </row>
    <row r="173" spans="1:206" x14ac:dyDescent="0.2">
      <c r="A173" s="2">
        <v>51</v>
      </c>
      <c r="B173" s="2">
        <f>B24</f>
        <v>1</v>
      </c>
      <c r="C173" s="2">
        <f>A24</f>
        <v>4</v>
      </c>
      <c r="D173" s="2">
        <f>ROW(A24)</f>
        <v>24</v>
      </c>
      <c r="E173" s="2"/>
      <c r="F173" s="2" t="str">
        <f>IF(F24&lt;&gt;"",F24,"")</f>
        <v>Новый раздел</v>
      </c>
      <c r="G173" s="2" t="str">
        <f>IF(G24&lt;&gt;"",G24,"")</f>
        <v>ГНБ</v>
      </c>
      <c r="H173" s="2">
        <v>0</v>
      </c>
      <c r="I173" s="2"/>
      <c r="J173" s="2"/>
      <c r="K173" s="2"/>
      <c r="L173" s="2"/>
      <c r="M173" s="2"/>
      <c r="N173" s="2"/>
      <c r="O173" s="2">
        <f t="shared" ref="O173:T173" si="196">ROUND(O69+O106+O143+AB173,2)</f>
        <v>10423686.65</v>
      </c>
      <c r="P173" s="2">
        <f t="shared" si="196"/>
        <v>6200815.9500000002</v>
      </c>
      <c r="Q173" s="2">
        <f t="shared" si="196"/>
        <v>3993667.43</v>
      </c>
      <c r="R173" s="2">
        <f t="shared" si="196"/>
        <v>754298.48</v>
      </c>
      <c r="S173" s="2">
        <f t="shared" si="196"/>
        <v>229203.27</v>
      </c>
      <c r="T173" s="2">
        <f t="shared" si="196"/>
        <v>0</v>
      </c>
      <c r="U173" s="2">
        <f>U69+U106+U143+AH173</f>
        <v>804.26659631999985</v>
      </c>
      <c r="V173" s="2">
        <f>V69+V106+V143+AI173</f>
        <v>0</v>
      </c>
      <c r="W173" s="2">
        <f>ROUND(W69+W106+W143+AJ173,2)</f>
        <v>0</v>
      </c>
      <c r="X173" s="2">
        <f>ROUND(X69+X106+X143+AK173,2)</f>
        <v>264365.76</v>
      </c>
      <c r="Y173" s="2">
        <f>ROUND(Y69+Y106+Y143+AL173,2)</f>
        <v>164047.19</v>
      </c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>
        <f t="shared" ref="AO173:BD173" si="197">ROUND(AO69+AO106+AO143+BX173,2)</f>
        <v>0</v>
      </c>
      <c r="AP173" s="2">
        <f t="shared" si="197"/>
        <v>0</v>
      </c>
      <c r="AQ173" s="2">
        <f t="shared" si="197"/>
        <v>0</v>
      </c>
      <c r="AR173" s="2">
        <f t="shared" si="197"/>
        <v>12036348.220000001</v>
      </c>
      <c r="AS173" s="2">
        <f t="shared" si="197"/>
        <v>12018008.529999999</v>
      </c>
      <c r="AT173" s="2">
        <f t="shared" si="197"/>
        <v>3034.46</v>
      </c>
      <c r="AU173" s="2">
        <f t="shared" si="197"/>
        <v>15305.23</v>
      </c>
      <c r="AV173" s="2">
        <f t="shared" si="197"/>
        <v>6200815.9500000002</v>
      </c>
      <c r="AW173" s="2">
        <f t="shared" si="197"/>
        <v>6200815.9500000002</v>
      </c>
      <c r="AX173" s="2">
        <f t="shared" si="197"/>
        <v>0</v>
      </c>
      <c r="AY173" s="2">
        <f t="shared" si="197"/>
        <v>6200815.9500000002</v>
      </c>
      <c r="AZ173" s="2">
        <f t="shared" si="197"/>
        <v>0</v>
      </c>
      <c r="BA173" s="2">
        <f t="shared" si="197"/>
        <v>0</v>
      </c>
      <c r="BB173" s="2">
        <f t="shared" si="197"/>
        <v>0</v>
      </c>
      <c r="BC173" s="2">
        <f t="shared" si="197"/>
        <v>0</v>
      </c>
      <c r="BD173" s="2">
        <f t="shared" si="197"/>
        <v>0</v>
      </c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  <c r="CZ173" s="2"/>
      <c r="DA173" s="2"/>
      <c r="DB173" s="2"/>
      <c r="DC173" s="2"/>
      <c r="DD173" s="2"/>
      <c r="DE173" s="2"/>
      <c r="DF173" s="2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3"/>
      <c r="DU173" s="3"/>
      <c r="DV173" s="3"/>
      <c r="DW173" s="3"/>
      <c r="DX173" s="3"/>
      <c r="DY173" s="3"/>
      <c r="DZ173" s="3"/>
      <c r="EA173" s="3"/>
      <c r="EB173" s="3"/>
      <c r="EC173" s="3"/>
      <c r="ED173" s="3"/>
      <c r="EE173" s="3"/>
      <c r="EF173" s="3"/>
      <c r="EG173" s="3"/>
      <c r="EH173" s="3"/>
      <c r="EI173" s="3"/>
      <c r="EJ173" s="3"/>
      <c r="EK173" s="3"/>
      <c r="EL173" s="3"/>
      <c r="EM173" s="3"/>
      <c r="EN173" s="3"/>
      <c r="EO173" s="3"/>
      <c r="EP173" s="3"/>
      <c r="EQ173" s="3"/>
      <c r="ER173" s="3"/>
      <c r="ES173" s="3"/>
      <c r="ET173" s="3"/>
      <c r="EU173" s="3"/>
      <c r="EV173" s="3"/>
      <c r="EW173" s="3"/>
      <c r="EX173" s="3"/>
      <c r="EY173" s="3"/>
      <c r="EZ173" s="3"/>
      <c r="FA173" s="3"/>
      <c r="FB173" s="3"/>
      <c r="FC173" s="3"/>
      <c r="FD173" s="3"/>
      <c r="FE173" s="3"/>
      <c r="FF173" s="3"/>
      <c r="FG173" s="3"/>
      <c r="FH173" s="3"/>
      <c r="FI173" s="3"/>
      <c r="FJ173" s="3"/>
      <c r="FK173" s="3"/>
      <c r="FL173" s="3"/>
      <c r="FM173" s="3"/>
      <c r="FN173" s="3"/>
      <c r="FO173" s="3"/>
      <c r="FP173" s="3"/>
      <c r="FQ173" s="3"/>
      <c r="FR173" s="3"/>
      <c r="FS173" s="3"/>
      <c r="FT173" s="3"/>
      <c r="FU173" s="3"/>
      <c r="FV173" s="3"/>
      <c r="FW173" s="3"/>
      <c r="FX173" s="3"/>
      <c r="FY173" s="3"/>
      <c r="FZ173" s="3"/>
      <c r="GA173" s="3"/>
      <c r="GB173" s="3"/>
      <c r="GC173" s="3"/>
      <c r="GD173" s="3"/>
      <c r="GE173" s="3"/>
      <c r="GF173" s="3"/>
      <c r="GG173" s="3"/>
      <c r="GH173" s="3"/>
      <c r="GI173" s="3"/>
      <c r="GJ173" s="3"/>
      <c r="GK173" s="3"/>
      <c r="GL173" s="3"/>
      <c r="GM173" s="3"/>
      <c r="GN173" s="3"/>
      <c r="GO173" s="3"/>
      <c r="GP173" s="3"/>
      <c r="GQ173" s="3"/>
      <c r="GR173" s="3"/>
      <c r="GS173" s="3"/>
      <c r="GT173" s="3"/>
      <c r="GU173" s="3"/>
      <c r="GV173" s="3"/>
      <c r="GW173" s="3"/>
      <c r="GX173" s="3">
        <v>0</v>
      </c>
    </row>
    <row r="175" spans="1:206" x14ac:dyDescent="0.2">
      <c r="A175" s="4">
        <v>50</v>
      </c>
      <c r="B175" s="4">
        <v>0</v>
      </c>
      <c r="C175" s="4">
        <v>0</v>
      </c>
      <c r="D175" s="4">
        <v>1</v>
      </c>
      <c r="E175" s="4">
        <v>201</v>
      </c>
      <c r="F175" s="4">
        <f>ROUND(Source!O173,O175)</f>
        <v>10423686.65</v>
      </c>
      <c r="G175" s="4" t="s">
        <v>120</v>
      </c>
      <c r="H175" s="4" t="s">
        <v>121</v>
      </c>
      <c r="I175" s="4"/>
      <c r="J175" s="4"/>
      <c r="K175" s="4">
        <v>201</v>
      </c>
      <c r="L175" s="4">
        <v>1</v>
      </c>
      <c r="M175" s="4">
        <v>3</v>
      </c>
      <c r="N175" s="4" t="s">
        <v>6</v>
      </c>
      <c r="O175" s="4">
        <v>2</v>
      </c>
      <c r="P175" s="4"/>
      <c r="Q175" s="4"/>
      <c r="R175" s="4"/>
      <c r="S175" s="4"/>
      <c r="T175" s="4"/>
      <c r="U175" s="4"/>
      <c r="V175" s="4"/>
      <c r="W175" s="4"/>
    </row>
    <row r="176" spans="1:206" x14ac:dyDescent="0.2">
      <c r="A176" s="4">
        <v>50</v>
      </c>
      <c r="B176" s="4">
        <v>0</v>
      </c>
      <c r="C176" s="4">
        <v>0</v>
      </c>
      <c r="D176" s="4">
        <v>1</v>
      </c>
      <c r="E176" s="4">
        <v>202</v>
      </c>
      <c r="F176" s="4">
        <f>ROUND(Source!P173,O176)</f>
        <v>6200815.9500000002</v>
      </c>
      <c r="G176" s="4" t="s">
        <v>122</v>
      </c>
      <c r="H176" s="4" t="s">
        <v>123</v>
      </c>
      <c r="I176" s="4"/>
      <c r="J176" s="4"/>
      <c r="K176" s="4">
        <v>202</v>
      </c>
      <c r="L176" s="4">
        <v>2</v>
      </c>
      <c r="M176" s="4">
        <v>3</v>
      </c>
      <c r="N176" s="4" t="s">
        <v>6</v>
      </c>
      <c r="O176" s="4">
        <v>2</v>
      </c>
      <c r="P176" s="4"/>
      <c r="Q176" s="4"/>
      <c r="R176" s="4"/>
      <c r="S176" s="4"/>
      <c r="T176" s="4"/>
      <c r="U176" s="4"/>
      <c r="V176" s="4"/>
      <c r="W176" s="4"/>
    </row>
    <row r="177" spans="1:23" x14ac:dyDescent="0.2">
      <c r="A177" s="4">
        <v>50</v>
      </c>
      <c r="B177" s="4">
        <v>0</v>
      </c>
      <c r="C177" s="4">
        <v>0</v>
      </c>
      <c r="D177" s="4">
        <v>1</v>
      </c>
      <c r="E177" s="4">
        <v>222</v>
      </c>
      <c r="F177" s="4">
        <f>ROUND(Source!AO173,O177)</f>
        <v>0</v>
      </c>
      <c r="G177" s="4" t="s">
        <v>124</v>
      </c>
      <c r="H177" s="4" t="s">
        <v>125</v>
      </c>
      <c r="I177" s="4"/>
      <c r="J177" s="4"/>
      <c r="K177" s="4">
        <v>222</v>
      </c>
      <c r="L177" s="4">
        <v>3</v>
      </c>
      <c r="M177" s="4">
        <v>3</v>
      </c>
      <c r="N177" s="4" t="s">
        <v>6</v>
      </c>
      <c r="O177" s="4">
        <v>2</v>
      </c>
      <c r="P177" s="4"/>
      <c r="Q177" s="4"/>
      <c r="R177" s="4"/>
      <c r="S177" s="4"/>
      <c r="T177" s="4"/>
      <c r="U177" s="4"/>
      <c r="V177" s="4"/>
      <c r="W177" s="4"/>
    </row>
    <row r="178" spans="1:23" x14ac:dyDescent="0.2">
      <c r="A178" s="4">
        <v>50</v>
      </c>
      <c r="B178" s="4">
        <v>0</v>
      </c>
      <c r="C178" s="4">
        <v>0</v>
      </c>
      <c r="D178" s="4">
        <v>1</v>
      </c>
      <c r="E178" s="4">
        <v>225</v>
      </c>
      <c r="F178" s="4">
        <f>ROUND(Source!AV173,O178)</f>
        <v>6200815.9500000002</v>
      </c>
      <c r="G178" s="4" t="s">
        <v>126</v>
      </c>
      <c r="H178" s="4" t="s">
        <v>127</v>
      </c>
      <c r="I178" s="4"/>
      <c r="J178" s="4"/>
      <c r="K178" s="4">
        <v>225</v>
      </c>
      <c r="L178" s="4">
        <v>4</v>
      </c>
      <c r="M178" s="4">
        <v>3</v>
      </c>
      <c r="N178" s="4" t="s">
        <v>6</v>
      </c>
      <c r="O178" s="4">
        <v>2</v>
      </c>
      <c r="P178" s="4"/>
      <c r="Q178" s="4"/>
      <c r="R178" s="4"/>
      <c r="S178" s="4"/>
      <c r="T178" s="4"/>
      <c r="U178" s="4"/>
      <c r="V178" s="4"/>
      <c r="W178" s="4"/>
    </row>
    <row r="179" spans="1:23" x14ac:dyDescent="0.2">
      <c r="A179" s="4">
        <v>50</v>
      </c>
      <c r="B179" s="4">
        <v>0</v>
      </c>
      <c r="C179" s="4">
        <v>0</v>
      </c>
      <c r="D179" s="4">
        <v>1</v>
      </c>
      <c r="E179" s="4">
        <v>226</v>
      </c>
      <c r="F179" s="4">
        <f>ROUND(Source!AW173,O179)</f>
        <v>6200815.9500000002</v>
      </c>
      <c r="G179" s="4" t="s">
        <v>128</v>
      </c>
      <c r="H179" s="4" t="s">
        <v>129</v>
      </c>
      <c r="I179" s="4"/>
      <c r="J179" s="4"/>
      <c r="K179" s="4">
        <v>226</v>
      </c>
      <c r="L179" s="4">
        <v>5</v>
      </c>
      <c r="M179" s="4">
        <v>3</v>
      </c>
      <c r="N179" s="4" t="s">
        <v>6</v>
      </c>
      <c r="O179" s="4">
        <v>2</v>
      </c>
      <c r="P179" s="4"/>
      <c r="Q179" s="4"/>
      <c r="R179" s="4"/>
      <c r="S179" s="4"/>
      <c r="T179" s="4"/>
      <c r="U179" s="4"/>
      <c r="V179" s="4"/>
      <c r="W179" s="4"/>
    </row>
    <row r="180" spans="1:23" x14ac:dyDescent="0.2">
      <c r="A180" s="4">
        <v>50</v>
      </c>
      <c r="B180" s="4">
        <v>0</v>
      </c>
      <c r="C180" s="4">
        <v>0</v>
      </c>
      <c r="D180" s="4">
        <v>1</v>
      </c>
      <c r="E180" s="4">
        <v>227</v>
      </c>
      <c r="F180" s="4">
        <f>ROUND(Source!AX173,O180)</f>
        <v>0</v>
      </c>
      <c r="G180" s="4" t="s">
        <v>130</v>
      </c>
      <c r="H180" s="4" t="s">
        <v>131</v>
      </c>
      <c r="I180" s="4"/>
      <c r="J180" s="4"/>
      <c r="K180" s="4">
        <v>227</v>
      </c>
      <c r="L180" s="4">
        <v>6</v>
      </c>
      <c r="M180" s="4">
        <v>3</v>
      </c>
      <c r="N180" s="4" t="s">
        <v>6</v>
      </c>
      <c r="O180" s="4">
        <v>2</v>
      </c>
      <c r="P180" s="4"/>
      <c r="Q180" s="4"/>
      <c r="R180" s="4"/>
      <c r="S180" s="4"/>
      <c r="T180" s="4"/>
      <c r="U180" s="4"/>
      <c r="V180" s="4"/>
      <c r="W180" s="4"/>
    </row>
    <row r="181" spans="1:23" x14ac:dyDescent="0.2">
      <c r="A181" s="4">
        <v>50</v>
      </c>
      <c r="B181" s="4">
        <v>0</v>
      </c>
      <c r="C181" s="4">
        <v>0</v>
      </c>
      <c r="D181" s="4">
        <v>1</v>
      </c>
      <c r="E181" s="4">
        <v>228</v>
      </c>
      <c r="F181" s="4">
        <f>ROUND(Source!AY173,O181)</f>
        <v>6200815.9500000002</v>
      </c>
      <c r="G181" s="4" t="s">
        <v>132</v>
      </c>
      <c r="H181" s="4" t="s">
        <v>133</v>
      </c>
      <c r="I181" s="4"/>
      <c r="J181" s="4"/>
      <c r="K181" s="4">
        <v>228</v>
      </c>
      <c r="L181" s="4">
        <v>7</v>
      </c>
      <c r="M181" s="4">
        <v>3</v>
      </c>
      <c r="N181" s="4" t="s">
        <v>6</v>
      </c>
      <c r="O181" s="4">
        <v>2</v>
      </c>
      <c r="P181" s="4"/>
      <c r="Q181" s="4"/>
      <c r="R181" s="4"/>
      <c r="S181" s="4"/>
      <c r="T181" s="4"/>
      <c r="U181" s="4"/>
      <c r="V181" s="4"/>
      <c r="W181" s="4"/>
    </row>
    <row r="182" spans="1:23" x14ac:dyDescent="0.2">
      <c r="A182" s="4">
        <v>50</v>
      </c>
      <c r="B182" s="4">
        <v>0</v>
      </c>
      <c r="C182" s="4">
        <v>0</v>
      </c>
      <c r="D182" s="4">
        <v>1</v>
      </c>
      <c r="E182" s="4">
        <v>216</v>
      </c>
      <c r="F182" s="4">
        <f>ROUND(Source!AP173,O182)</f>
        <v>0</v>
      </c>
      <c r="G182" s="4" t="s">
        <v>134</v>
      </c>
      <c r="H182" s="4" t="s">
        <v>135</v>
      </c>
      <c r="I182" s="4"/>
      <c r="J182" s="4"/>
      <c r="K182" s="4">
        <v>216</v>
      </c>
      <c r="L182" s="4">
        <v>8</v>
      </c>
      <c r="M182" s="4">
        <v>3</v>
      </c>
      <c r="N182" s="4" t="s">
        <v>6</v>
      </c>
      <c r="O182" s="4">
        <v>2</v>
      </c>
      <c r="P182" s="4"/>
      <c r="Q182" s="4"/>
      <c r="R182" s="4"/>
      <c r="S182" s="4"/>
      <c r="T182" s="4"/>
      <c r="U182" s="4"/>
      <c r="V182" s="4"/>
      <c r="W182" s="4"/>
    </row>
    <row r="183" spans="1:23" x14ac:dyDescent="0.2">
      <c r="A183" s="4">
        <v>50</v>
      </c>
      <c r="B183" s="4">
        <v>0</v>
      </c>
      <c r="C183" s="4">
        <v>0</v>
      </c>
      <c r="D183" s="4">
        <v>1</v>
      </c>
      <c r="E183" s="4">
        <v>223</v>
      </c>
      <c r="F183" s="4">
        <f>ROUND(Source!AQ173,O183)</f>
        <v>0</v>
      </c>
      <c r="G183" s="4" t="s">
        <v>136</v>
      </c>
      <c r="H183" s="4" t="s">
        <v>137</v>
      </c>
      <c r="I183" s="4"/>
      <c r="J183" s="4"/>
      <c r="K183" s="4">
        <v>223</v>
      </c>
      <c r="L183" s="4">
        <v>9</v>
      </c>
      <c r="M183" s="4">
        <v>3</v>
      </c>
      <c r="N183" s="4" t="s">
        <v>6</v>
      </c>
      <c r="O183" s="4">
        <v>2</v>
      </c>
      <c r="P183" s="4"/>
      <c r="Q183" s="4"/>
      <c r="R183" s="4"/>
      <c r="S183" s="4"/>
      <c r="T183" s="4"/>
      <c r="U183" s="4"/>
      <c r="V183" s="4"/>
      <c r="W183" s="4"/>
    </row>
    <row r="184" spans="1:23" x14ac:dyDescent="0.2">
      <c r="A184" s="4">
        <v>50</v>
      </c>
      <c r="B184" s="4">
        <v>0</v>
      </c>
      <c r="C184" s="4">
        <v>0</v>
      </c>
      <c r="D184" s="4">
        <v>1</v>
      </c>
      <c r="E184" s="4">
        <v>229</v>
      </c>
      <c r="F184" s="4">
        <f>ROUND(Source!AZ173,O184)</f>
        <v>0</v>
      </c>
      <c r="G184" s="4" t="s">
        <v>138</v>
      </c>
      <c r="H184" s="4" t="s">
        <v>139</v>
      </c>
      <c r="I184" s="4"/>
      <c r="J184" s="4"/>
      <c r="K184" s="4">
        <v>229</v>
      </c>
      <c r="L184" s="4">
        <v>10</v>
      </c>
      <c r="M184" s="4">
        <v>3</v>
      </c>
      <c r="N184" s="4" t="s">
        <v>6</v>
      </c>
      <c r="O184" s="4">
        <v>2</v>
      </c>
      <c r="P184" s="4"/>
      <c r="Q184" s="4"/>
      <c r="R184" s="4"/>
      <c r="S184" s="4"/>
      <c r="T184" s="4"/>
      <c r="U184" s="4"/>
      <c r="V184" s="4"/>
      <c r="W184" s="4"/>
    </row>
    <row r="185" spans="1:23" x14ac:dyDescent="0.2">
      <c r="A185" s="4">
        <v>50</v>
      </c>
      <c r="B185" s="4">
        <v>0</v>
      </c>
      <c r="C185" s="4">
        <v>0</v>
      </c>
      <c r="D185" s="4">
        <v>1</v>
      </c>
      <c r="E185" s="4">
        <v>203</v>
      </c>
      <c r="F185" s="4">
        <f>ROUND(Source!Q173,O185)</f>
        <v>3993667.43</v>
      </c>
      <c r="G185" s="4" t="s">
        <v>140</v>
      </c>
      <c r="H185" s="4" t="s">
        <v>141</v>
      </c>
      <c r="I185" s="4"/>
      <c r="J185" s="4"/>
      <c r="K185" s="4">
        <v>203</v>
      </c>
      <c r="L185" s="4">
        <v>11</v>
      </c>
      <c r="M185" s="4">
        <v>3</v>
      </c>
      <c r="N185" s="4" t="s">
        <v>6</v>
      </c>
      <c r="O185" s="4">
        <v>2</v>
      </c>
      <c r="P185" s="4"/>
      <c r="Q185" s="4"/>
      <c r="R185" s="4"/>
      <c r="S185" s="4"/>
      <c r="T185" s="4"/>
      <c r="U185" s="4"/>
      <c r="V185" s="4"/>
      <c r="W185" s="4"/>
    </row>
    <row r="186" spans="1:23" x14ac:dyDescent="0.2">
      <c r="A186" s="4">
        <v>50</v>
      </c>
      <c r="B186" s="4">
        <v>0</v>
      </c>
      <c r="C186" s="4">
        <v>0</v>
      </c>
      <c r="D186" s="4">
        <v>1</v>
      </c>
      <c r="E186" s="4">
        <v>231</v>
      </c>
      <c r="F186" s="4">
        <f>ROUND(Source!BB173,O186)</f>
        <v>0</v>
      </c>
      <c r="G186" s="4" t="s">
        <v>142</v>
      </c>
      <c r="H186" s="4" t="s">
        <v>143</v>
      </c>
      <c r="I186" s="4"/>
      <c r="J186" s="4"/>
      <c r="K186" s="4">
        <v>231</v>
      </c>
      <c r="L186" s="4">
        <v>12</v>
      </c>
      <c r="M186" s="4">
        <v>3</v>
      </c>
      <c r="N186" s="4" t="s">
        <v>6</v>
      </c>
      <c r="O186" s="4">
        <v>2</v>
      </c>
      <c r="P186" s="4"/>
      <c r="Q186" s="4"/>
      <c r="R186" s="4"/>
      <c r="S186" s="4"/>
      <c r="T186" s="4"/>
      <c r="U186" s="4"/>
      <c r="V186" s="4"/>
      <c r="W186" s="4"/>
    </row>
    <row r="187" spans="1:23" x14ac:dyDescent="0.2">
      <c r="A187" s="4">
        <v>50</v>
      </c>
      <c r="B187" s="4">
        <v>0</v>
      </c>
      <c r="C187" s="4">
        <v>0</v>
      </c>
      <c r="D187" s="4">
        <v>1</v>
      </c>
      <c r="E187" s="4">
        <v>204</v>
      </c>
      <c r="F187" s="4">
        <f>ROUND(Source!R173,O187)</f>
        <v>754298.48</v>
      </c>
      <c r="G187" s="4" t="s">
        <v>144</v>
      </c>
      <c r="H187" s="4" t="s">
        <v>145</v>
      </c>
      <c r="I187" s="4"/>
      <c r="J187" s="4"/>
      <c r="K187" s="4">
        <v>204</v>
      </c>
      <c r="L187" s="4">
        <v>13</v>
      </c>
      <c r="M187" s="4">
        <v>3</v>
      </c>
      <c r="N187" s="4" t="s">
        <v>6</v>
      </c>
      <c r="O187" s="4">
        <v>2</v>
      </c>
      <c r="P187" s="4"/>
      <c r="Q187" s="4"/>
      <c r="R187" s="4"/>
      <c r="S187" s="4"/>
      <c r="T187" s="4"/>
      <c r="U187" s="4"/>
      <c r="V187" s="4"/>
      <c r="W187" s="4"/>
    </row>
    <row r="188" spans="1:23" x14ac:dyDescent="0.2">
      <c r="A188" s="4">
        <v>50</v>
      </c>
      <c r="B188" s="4">
        <v>0</v>
      </c>
      <c r="C188" s="4">
        <v>0</v>
      </c>
      <c r="D188" s="4">
        <v>1</v>
      </c>
      <c r="E188" s="4">
        <v>205</v>
      </c>
      <c r="F188" s="4">
        <f>ROUND(Source!S173,O188)</f>
        <v>229203.27</v>
      </c>
      <c r="G188" s="4" t="s">
        <v>146</v>
      </c>
      <c r="H188" s="4" t="s">
        <v>147</v>
      </c>
      <c r="I188" s="4"/>
      <c r="J188" s="4"/>
      <c r="K188" s="4">
        <v>205</v>
      </c>
      <c r="L188" s="4">
        <v>14</v>
      </c>
      <c r="M188" s="4">
        <v>3</v>
      </c>
      <c r="N188" s="4" t="s">
        <v>6</v>
      </c>
      <c r="O188" s="4">
        <v>2</v>
      </c>
      <c r="P188" s="4"/>
      <c r="Q188" s="4"/>
      <c r="R188" s="4"/>
      <c r="S188" s="4"/>
      <c r="T188" s="4"/>
      <c r="U188" s="4"/>
      <c r="V188" s="4"/>
      <c r="W188" s="4"/>
    </row>
    <row r="189" spans="1:23" x14ac:dyDescent="0.2">
      <c r="A189" s="4">
        <v>50</v>
      </c>
      <c r="B189" s="4">
        <v>0</v>
      </c>
      <c r="C189" s="4">
        <v>0</v>
      </c>
      <c r="D189" s="4">
        <v>1</v>
      </c>
      <c r="E189" s="4">
        <v>232</v>
      </c>
      <c r="F189" s="4">
        <f>ROUND(Source!BC173,O189)</f>
        <v>0</v>
      </c>
      <c r="G189" s="4" t="s">
        <v>148</v>
      </c>
      <c r="H189" s="4" t="s">
        <v>149</v>
      </c>
      <c r="I189" s="4"/>
      <c r="J189" s="4"/>
      <c r="K189" s="4">
        <v>232</v>
      </c>
      <c r="L189" s="4">
        <v>15</v>
      </c>
      <c r="M189" s="4">
        <v>3</v>
      </c>
      <c r="N189" s="4" t="s">
        <v>6</v>
      </c>
      <c r="O189" s="4">
        <v>2</v>
      </c>
      <c r="P189" s="4"/>
      <c r="Q189" s="4"/>
      <c r="R189" s="4"/>
      <c r="S189" s="4"/>
      <c r="T189" s="4"/>
      <c r="U189" s="4"/>
      <c r="V189" s="4"/>
      <c r="W189" s="4"/>
    </row>
    <row r="190" spans="1:23" x14ac:dyDescent="0.2">
      <c r="A190" s="4">
        <v>50</v>
      </c>
      <c r="B190" s="4">
        <v>0</v>
      </c>
      <c r="C190" s="4">
        <v>0</v>
      </c>
      <c r="D190" s="4">
        <v>1</v>
      </c>
      <c r="E190" s="4">
        <v>214</v>
      </c>
      <c r="F190" s="4">
        <f>ROUND(Source!AS173,O190)</f>
        <v>12018008.529999999</v>
      </c>
      <c r="G190" s="4" t="s">
        <v>150</v>
      </c>
      <c r="H190" s="4" t="s">
        <v>151</v>
      </c>
      <c r="I190" s="4"/>
      <c r="J190" s="4"/>
      <c r="K190" s="4">
        <v>214</v>
      </c>
      <c r="L190" s="4">
        <v>16</v>
      </c>
      <c r="M190" s="4">
        <v>3</v>
      </c>
      <c r="N190" s="4" t="s">
        <v>6</v>
      </c>
      <c r="O190" s="4">
        <v>2</v>
      </c>
      <c r="P190" s="4"/>
      <c r="Q190" s="4"/>
      <c r="R190" s="4"/>
      <c r="S190" s="4"/>
      <c r="T190" s="4"/>
      <c r="U190" s="4"/>
      <c r="V190" s="4"/>
      <c r="W190" s="4"/>
    </row>
    <row r="191" spans="1:23" x14ac:dyDescent="0.2">
      <c r="A191" s="4">
        <v>50</v>
      </c>
      <c r="B191" s="4">
        <v>0</v>
      </c>
      <c r="C191" s="4">
        <v>0</v>
      </c>
      <c r="D191" s="4">
        <v>1</v>
      </c>
      <c r="E191" s="4">
        <v>215</v>
      </c>
      <c r="F191" s="4">
        <f>ROUND(Source!AT173,O191)</f>
        <v>3034.46</v>
      </c>
      <c r="G191" s="4" t="s">
        <v>152</v>
      </c>
      <c r="H191" s="4" t="s">
        <v>153</v>
      </c>
      <c r="I191" s="4"/>
      <c r="J191" s="4"/>
      <c r="K191" s="4">
        <v>215</v>
      </c>
      <c r="L191" s="4">
        <v>17</v>
      </c>
      <c r="M191" s="4">
        <v>3</v>
      </c>
      <c r="N191" s="4" t="s">
        <v>6</v>
      </c>
      <c r="O191" s="4">
        <v>2</v>
      </c>
      <c r="P191" s="4"/>
      <c r="Q191" s="4"/>
      <c r="R191" s="4"/>
      <c r="S191" s="4"/>
      <c r="T191" s="4"/>
      <c r="U191" s="4"/>
      <c r="V191" s="4"/>
      <c r="W191" s="4"/>
    </row>
    <row r="192" spans="1:23" x14ac:dyDescent="0.2">
      <c r="A192" s="4">
        <v>50</v>
      </c>
      <c r="B192" s="4">
        <v>0</v>
      </c>
      <c r="C192" s="4">
        <v>0</v>
      </c>
      <c r="D192" s="4">
        <v>1</v>
      </c>
      <c r="E192" s="4">
        <v>217</v>
      </c>
      <c r="F192" s="4">
        <f>ROUND(Source!AU173,O192)</f>
        <v>15305.23</v>
      </c>
      <c r="G192" s="4" t="s">
        <v>154</v>
      </c>
      <c r="H192" s="4" t="s">
        <v>155</v>
      </c>
      <c r="I192" s="4"/>
      <c r="J192" s="4"/>
      <c r="K192" s="4">
        <v>217</v>
      </c>
      <c r="L192" s="4">
        <v>18</v>
      </c>
      <c r="M192" s="4">
        <v>3</v>
      </c>
      <c r="N192" s="4" t="s">
        <v>6</v>
      </c>
      <c r="O192" s="4">
        <v>2</v>
      </c>
      <c r="P192" s="4"/>
      <c r="Q192" s="4"/>
      <c r="R192" s="4"/>
      <c r="S192" s="4"/>
      <c r="T192" s="4"/>
      <c r="U192" s="4"/>
      <c r="V192" s="4"/>
      <c r="W192" s="4"/>
    </row>
    <row r="193" spans="1:23" x14ac:dyDescent="0.2">
      <c r="A193" s="4">
        <v>50</v>
      </c>
      <c r="B193" s="4">
        <v>0</v>
      </c>
      <c r="C193" s="4">
        <v>0</v>
      </c>
      <c r="D193" s="4">
        <v>1</v>
      </c>
      <c r="E193" s="4">
        <v>230</v>
      </c>
      <c r="F193" s="4">
        <f>ROUND(Source!BA173,O193)</f>
        <v>0</v>
      </c>
      <c r="G193" s="4" t="s">
        <v>156</v>
      </c>
      <c r="H193" s="4" t="s">
        <v>157</v>
      </c>
      <c r="I193" s="4"/>
      <c r="J193" s="4"/>
      <c r="K193" s="4">
        <v>230</v>
      </c>
      <c r="L193" s="4">
        <v>19</v>
      </c>
      <c r="M193" s="4">
        <v>3</v>
      </c>
      <c r="N193" s="4" t="s">
        <v>6</v>
      </c>
      <c r="O193" s="4">
        <v>2</v>
      </c>
      <c r="P193" s="4"/>
      <c r="Q193" s="4"/>
      <c r="R193" s="4"/>
      <c r="S193" s="4"/>
      <c r="T193" s="4"/>
      <c r="U193" s="4"/>
      <c r="V193" s="4"/>
      <c r="W193" s="4"/>
    </row>
    <row r="194" spans="1:23" x14ac:dyDescent="0.2">
      <c r="A194" s="4">
        <v>50</v>
      </c>
      <c r="B194" s="4">
        <v>0</v>
      </c>
      <c r="C194" s="4">
        <v>0</v>
      </c>
      <c r="D194" s="4">
        <v>1</v>
      </c>
      <c r="E194" s="4">
        <v>206</v>
      </c>
      <c r="F194" s="4">
        <f>ROUND(Source!T173,O194)</f>
        <v>0</v>
      </c>
      <c r="G194" s="4" t="s">
        <v>158</v>
      </c>
      <c r="H194" s="4" t="s">
        <v>159</v>
      </c>
      <c r="I194" s="4"/>
      <c r="J194" s="4"/>
      <c r="K194" s="4">
        <v>206</v>
      </c>
      <c r="L194" s="4">
        <v>20</v>
      </c>
      <c r="M194" s="4">
        <v>3</v>
      </c>
      <c r="N194" s="4" t="s">
        <v>6</v>
      </c>
      <c r="O194" s="4">
        <v>2</v>
      </c>
      <c r="P194" s="4"/>
      <c r="Q194" s="4"/>
      <c r="R194" s="4"/>
      <c r="S194" s="4"/>
      <c r="T194" s="4"/>
      <c r="U194" s="4"/>
      <c r="V194" s="4"/>
      <c r="W194" s="4"/>
    </row>
    <row r="195" spans="1:23" x14ac:dyDescent="0.2">
      <c r="A195" s="4">
        <v>50</v>
      </c>
      <c r="B195" s="4">
        <v>0</v>
      </c>
      <c r="C195" s="4">
        <v>0</v>
      </c>
      <c r="D195" s="4">
        <v>1</v>
      </c>
      <c r="E195" s="4">
        <v>207</v>
      </c>
      <c r="F195" s="4">
        <f>Source!U173</f>
        <v>804.26659631999985</v>
      </c>
      <c r="G195" s="4" t="s">
        <v>160</v>
      </c>
      <c r="H195" s="4" t="s">
        <v>161</v>
      </c>
      <c r="I195" s="4"/>
      <c r="J195" s="4"/>
      <c r="K195" s="4">
        <v>207</v>
      </c>
      <c r="L195" s="4">
        <v>21</v>
      </c>
      <c r="M195" s="4">
        <v>3</v>
      </c>
      <c r="N195" s="4" t="s">
        <v>6</v>
      </c>
      <c r="O195" s="4">
        <v>-1</v>
      </c>
      <c r="P195" s="4"/>
      <c r="Q195" s="4"/>
      <c r="R195" s="4"/>
      <c r="S195" s="4"/>
      <c r="T195" s="4"/>
      <c r="U195" s="4"/>
      <c r="V195" s="4"/>
      <c r="W195" s="4"/>
    </row>
    <row r="196" spans="1:23" x14ac:dyDescent="0.2">
      <c r="A196" s="4">
        <v>50</v>
      </c>
      <c r="B196" s="4">
        <v>0</v>
      </c>
      <c r="C196" s="4">
        <v>0</v>
      </c>
      <c r="D196" s="4">
        <v>1</v>
      </c>
      <c r="E196" s="4">
        <v>208</v>
      </c>
      <c r="F196" s="4">
        <f>Source!V173</f>
        <v>0</v>
      </c>
      <c r="G196" s="4" t="s">
        <v>162</v>
      </c>
      <c r="H196" s="4" t="s">
        <v>163</v>
      </c>
      <c r="I196" s="4"/>
      <c r="J196" s="4"/>
      <c r="K196" s="4">
        <v>208</v>
      </c>
      <c r="L196" s="4">
        <v>22</v>
      </c>
      <c r="M196" s="4">
        <v>3</v>
      </c>
      <c r="N196" s="4" t="s">
        <v>6</v>
      </c>
      <c r="O196" s="4">
        <v>-1</v>
      </c>
      <c r="P196" s="4"/>
      <c r="Q196" s="4"/>
      <c r="R196" s="4"/>
      <c r="S196" s="4"/>
      <c r="T196" s="4"/>
      <c r="U196" s="4"/>
      <c r="V196" s="4"/>
      <c r="W196" s="4"/>
    </row>
    <row r="197" spans="1:23" x14ac:dyDescent="0.2">
      <c r="A197" s="4">
        <v>50</v>
      </c>
      <c r="B197" s="4">
        <v>0</v>
      </c>
      <c r="C197" s="4">
        <v>0</v>
      </c>
      <c r="D197" s="4">
        <v>1</v>
      </c>
      <c r="E197" s="4">
        <v>209</v>
      </c>
      <c r="F197" s="4">
        <f>ROUND(Source!W173,O197)</f>
        <v>0</v>
      </c>
      <c r="G197" s="4" t="s">
        <v>164</v>
      </c>
      <c r="H197" s="4" t="s">
        <v>165</v>
      </c>
      <c r="I197" s="4"/>
      <c r="J197" s="4"/>
      <c r="K197" s="4">
        <v>209</v>
      </c>
      <c r="L197" s="4">
        <v>23</v>
      </c>
      <c r="M197" s="4">
        <v>3</v>
      </c>
      <c r="N197" s="4" t="s">
        <v>6</v>
      </c>
      <c r="O197" s="4">
        <v>2</v>
      </c>
      <c r="P197" s="4"/>
      <c r="Q197" s="4"/>
      <c r="R197" s="4"/>
      <c r="S197" s="4"/>
      <c r="T197" s="4"/>
      <c r="U197" s="4"/>
      <c r="V197" s="4"/>
      <c r="W197" s="4"/>
    </row>
    <row r="198" spans="1:23" x14ac:dyDescent="0.2">
      <c r="A198" s="4">
        <v>50</v>
      </c>
      <c r="B198" s="4">
        <v>0</v>
      </c>
      <c r="C198" s="4">
        <v>0</v>
      </c>
      <c r="D198" s="4">
        <v>1</v>
      </c>
      <c r="E198" s="4">
        <v>233</v>
      </c>
      <c r="F198" s="4">
        <f>ROUND(Source!BD173,O198)</f>
        <v>0</v>
      </c>
      <c r="G198" s="4" t="s">
        <v>166</v>
      </c>
      <c r="H198" s="4" t="s">
        <v>167</v>
      </c>
      <c r="I198" s="4"/>
      <c r="J198" s="4"/>
      <c r="K198" s="4">
        <v>233</v>
      </c>
      <c r="L198" s="4">
        <v>24</v>
      </c>
      <c r="M198" s="4">
        <v>3</v>
      </c>
      <c r="N198" s="4" t="s">
        <v>6</v>
      </c>
      <c r="O198" s="4">
        <v>2</v>
      </c>
      <c r="P198" s="4"/>
      <c r="Q198" s="4"/>
      <c r="R198" s="4"/>
      <c r="S198" s="4"/>
      <c r="T198" s="4"/>
      <c r="U198" s="4"/>
      <c r="V198" s="4"/>
      <c r="W198" s="4"/>
    </row>
    <row r="199" spans="1:23" x14ac:dyDescent="0.2">
      <c r="A199" s="4">
        <v>50</v>
      </c>
      <c r="B199" s="4">
        <v>0</v>
      </c>
      <c r="C199" s="4">
        <v>0</v>
      </c>
      <c r="D199" s="4">
        <v>1</v>
      </c>
      <c r="E199" s="4">
        <v>210</v>
      </c>
      <c r="F199" s="4">
        <f>ROUND(Source!X173,O199)</f>
        <v>264365.76</v>
      </c>
      <c r="G199" s="4" t="s">
        <v>168</v>
      </c>
      <c r="H199" s="4" t="s">
        <v>169</v>
      </c>
      <c r="I199" s="4"/>
      <c r="J199" s="4"/>
      <c r="K199" s="4">
        <v>210</v>
      </c>
      <c r="L199" s="4">
        <v>25</v>
      </c>
      <c r="M199" s="4">
        <v>3</v>
      </c>
      <c r="N199" s="4" t="s">
        <v>6</v>
      </c>
      <c r="O199" s="4">
        <v>2</v>
      </c>
      <c r="P199" s="4"/>
      <c r="Q199" s="4"/>
      <c r="R199" s="4"/>
      <c r="S199" s="4"/>
      <c r="T199" s="4"/>
      <c r="U199" s="4"/>
      <c r="V199" s="4"/>
      <c r="W199" s="4"/>
    </row>
    <row r="200" spans="1:23" x14ac:dyDescent="0.2">
      <c r="A200" s="4">
        <v>50</v>
      </c>
      <c r="B200" s="4">
        <v>0</v>
      </c>
      <c r="C200" s="4">
        <v>0</v>
      </c>
      <c r="D200" s="4">
        <v>1</v>
      </c>
      <c r="E200" s="4">
        <v>211</v>
      </c>
      <c r="F200" s="4">
        <f>ROUND(Source!Y173,O200)</f>
        <v>164047.19</v>
      </c>
      <c r="G200" s="4" t="s">
        <v>170</v>
      </c>
      <c r="H200" s="4" t="s">
        <v>171</v>
      </c>
      <c r="I200" s="4"/>
      <c r="J200" s="4"/>
      <c r="K200" s="4">
        <v>211</v>
      </c>
      <c r="L200" s="4">
        <v>26</v>
      </c>
      <c r="M200" s="4">
        <v>3</v>
      </c>
      <c r="N200" s="4" t="s">
        <v>6</v>
      </c>
      <c r="O200" s="4">
        <v>2</v>
      </c>
      <c r="P200" s="4"/>
      <c r="Q200" s="4"/>
      <c r="R200" s="4"/>
      <c r="S200" s="4"/>
      <c r="T200" s="4"/>
      <c r="U200" s="4"/>
      <c r="V200" s="4"/>
      <c r="W200" s="4"/>
    </row>
    <row r="201" spans="1:23" x14ac:dyDescent="0.2">
      <c r="A201" s="4">
        <v>50</v>
      </c>
      <c r="B201" s="4">
        <v>0</v>
      </c>
      <c r="C201" s="4">
        <v>0</v>
      </c>
      <c r="D201" s="4">
        <v>1</v>
      </c>
      <c r="E201" s="4">
        <v>224</v>
      </c>
      <c r="F201" s="4">
        <f>ROUND(Source!AR173,O201)</f>
        <v>12036348.220000001</v>
      </c>
      <c r="G201" s="4" t="s">
        <v>172</v>
      </c>
      <c r="H201" s="4" t="s">
        <v>173</v>
      </c>
      <c r="I201" s="4"/>
      <c r="J201" s="4"/>
      <c r="K201" s="4">
        <v>224</v>
      </c>
      <c r="L201" s="4">
        <v>27</v>
      </c>
      <c r="M201" s="4">
        <v>3</v>
      </c>
      <c r="N201" s="4" t="s">
        <v>6</v>
      </c>
      <c r="O201" s="4">
        <v>2</v>
      </c>
      <c r="P201" s="4"/>
      <c r="Q201" s="4"/>
      <c r="R201" s="4"/>
      <c r="S201" s="4"/>
      <c r="T201" s="4"/>
      <c r="U201" s="4"/>
      <c r="V201" s="4"/>
      <c r="W201" s="4"/>
    </row>
    <row r="202" spans="1:23" x14ac:dyDescent="0.2">
      <c r="A202" s="4">
        <v>50</v>
      </c>
      <c r="B202" s="4">
        <v>1</v>
      </c>
      <c r="C202" s="4">
        <v>0</v>
      </c>
      <c r="D202" s="4">
        <v>2</v>
      </c>
      <c r="E202" s="4">
        <v>0</v>
      </c>
      <c r="F202" s="4">
        <f>ROUND(F97+F134,O202)</f>
        <v>12021042.99</v>
      </c>
      <c r="G202" s="4" t="s">
        <v>198</v>
      </c>
      <c r="H202" s="4" t="s">
        <v>29</v>
      </c>
      <c r="I202" s="4"/>
      <c r="J202" s="4"/>
      <c r="K202" s="4">
        <v>212</v>
      </c>
      <c r="L202" s="4">
        <v>28</v>
      </c>
      <c r="M202" s="4">
        <v>0</v>
      </c>
      <c r="N202" s="4" t="s">
        <v>6</v>
      </c>
      <c r="O202" s="4">
        <v>2</v>
      </c>
      <c r="P202" s="4"/>
      <c r="Q202" s="4"/>
      <c r="R202" s="4"/>
      <c r="S202" s="4"/>
      <c r="T202" s="4"/>
      <c r="U202" s="4"/>
      <c r="V202" s="4"/>
      <c r="W202" s="4"/>
    </row>
    <row r="203" spans="1:23" x14ac:dyDescent="0.2">
      <c r="A203" s="4">
        <v>50</v>
      </c>
      <c r="B203" s="4">
        <v>1</v>
      </c>
      <c r="C203" s="4">
        <v>0</v>
      </c>
      <c r="D203" s="4">
        <v>2</v>
      </c>
      <c r="E203" s="4">
        <v>0</v>
      </c>
      <c r="F203" s="4">
        <f>ROUND(F202*0.015,O203)</f>
        <v>180315.64</v>
      </c>
      <c r="G203" s="4" t="s">
        <v>199</v>
      </c>
      <c r="H203" s="4" t="s">
        <v>200</v>
      </c>
      <c r="I203" s="4"/>
      <c r="J203" s="4"/>
      <c r="K203" s="4">
        <v>212</v>
      </c>
      <c r="L203" s="4">
        <v>29</v>
      </c>
      <c r="M203" s="4">
        <v>0</v>
      </c>
      <c r="N203" s="4" t="s">
        <v>6</v>
      </c>
      <c r="O203" s="4">
        <v>2</v>
      </c>
      <c r="P203" s="4"/>
      <c r="Q203" s="4"/>
      <c r="R203" s="4"/>
      <c r="S203" s="4"/>
      <c r="T203" s="4"/>
      <c r="U203" s="4"/>
      <c r="V203" s="4"/>
      <c r="W203" s="4"/>
    </row>
    <row r="204" spans="1:23" x14ac:dyDescent="0.2">
      <c r="A204" s="4">
        <v>50</v>
      </c>
      <c r="B204" s="4">
        <v>1</v>
      </c>
      <c r="C204" s="4">
        <v>0</v>
      </c>
      <c r="D204" s="4">
        <v>2</v>
      </c>
      <c r="E204" s="4">
        <v>0</v>
      </c>
      <c r="F204" s="4">
        <f>ROUND(F171,O204)</f>
        <v>15305.23</v>
      </c>
      <c r="G204" s="4" t="s">
        <v>201</v>
      </c>
      <c r="H204" s="4" t="s">
        <v>154</v>
      </c>
      <c r="I204" s="4"/>
      <c r="J204" s="4"/>
      <c r="K204" s="4">
        <v>212</v>
      </c>
      <c r="L204" s="4">
        <v>30</v>
      </c>
      <c r="M204" s="4">
        <v>0</v>
      </c>
      <c r="N204" s="4" t="s">
        <v>6</v>
      </c>
      <c r="O204" s="4">
        <v>2</v>
      </c>
      <c r="P204" s="4"/>
      <c r="Q204" s="4"/>
      <c r="R204" s="4"/>
      <c r="S204" s="4"/>
      <c r="T204" s="4"/>
      <c r="U204" s="4"/>
      <c r="V204" s="4"/>
      <c r="W204" s="4"/>
    </row>
    <row r="205" spans="1:23" x14ac:dyDescent="0.2">
      <c r="A205" s="4">
        <v>50</v>
      </c>
      <c r="B205" s="4">
        <v>1</v>
      </c>
      <c r="C205" s="4">
        <v>0</v>
      </c>
      <c r="D205" s="4">
        <v>2</v>
      </c>
      <c r="E205" s="4">
        <v>0</v>
      </c>
      <c r="F205" s="4">
        <f>ROUND(F202+F203+F204,O205)</f>
        <v>12216663.859999999</v>
      </c>
      <c r="G205" s="4" t="s">
        <v>202</v>
      </c>
      <c r="H205" s="4" t="s">
        <v>203</v>
      </c>
      <c r="I205" s="4"/>
      <c r="J205" s="4"/>
      <c r="K205" s="4">
        <v>212</v>
      </c>
      <c r="L205" s="4">
        <v>31</v>
      </c>
      <c r="M205" s="4">
        <v>0</v>
      </c>
      <c r="N205" s="4" t="s">
        <v>6</v>
      </c>
      <c r="O205" s="4">
        <v>2</v>
      </c>
      <c r="P205" s="4"/>
      <c r="Q205" s="4"/>
      <c r="R205" s="4"/>
      <c r="S205" s="4"/>
      <c r="T205" s="4"/>
      <c r="U205" s="4"/>
      <c r="V205" s="4"/>
      <c r="W205" s="4"/>
    </row>
    <row r="206" spans="1:23" x14ac:dyDescent="0.2">
      <c r="A206" s="4">
        <v>50</v>
      </c>
      <c r="B206" s="4">
        <v>1</v>
      </c>
      <c r="C206" s="4">
        <v>0</v>
      </c>
      <c r="D206" s="4">
        <v>2</v>
      </c>
      <c r="E206" s="4">
        <v>0</v>
      </c>
      <c r="F206" s="4">
        <f>ROUND(F205*0.2,O206)</f>
        <v>2443332.77</v>
      </c>
      <c r="G206" s="4" t="s">
        <v>204</v>
      </c>
      <c r="H206" s="4" t="s">
        <v>205</v>
      </c>
      <c r="I206" s="4"/>
      <c r="J206" s="4"/>
      <c r="K206" s="4">
        <v>212</v>
      </c>
      <c r="L206" s="4">
        <v>32</v>
      </c>
      <c r="M206" s="4">
        <v>0</v>
      </c>
      <c r="N206" s="4" t="s">
        <v>6</v>
      </c>
      <c r="O206" s="4">
        <v>2</v>
      </c>
      <c r="P206" s="4"/>
      <c r="Q206" s="4"/>
      <c r="R206" s="4"/>
      <c r="S206" s="4"/>
      <c r="T206" s="4"/>
      <c r="U206" s="4"/>
      <c r="V206" s="4"/>
      <c r="W206" s="4"/>
    </row>
    <row r="207" spans="1:23" x14ac:dyDescent="0.2">
      <c r="A207" s="4">
        <v>50</v>
      </c>
      <c r="B207" s="4">
        <v>1</v>
      </c>
      <c r="C207" s="4">
        <v>0</v>
      </c>
      <c r="D207" s="4">
        <v>2</v>
      </c>
      <c r="E207" s="4">
        <v>0</v>
      </c>
      <c r="F207" s="4">
        <f>ROUND(F206+F205,O207)</f>
        <v>14659996.630000001</v>
      </c>
      <c r="G207" s="4" t="s">
        <v>206</v>
      </c>
      <c r="H207" s="4" t="s">
        <v>207</v>
      </c>
      <c r="I207" s="4"/>
      <c r="J207" s="4"/>
      <c r="K207" s="4">
        <v>212</v>
      </c>
      <c r="L207" s="4">
        <v>33</v>
      </c>
      <c r="M207" s="4">
        <v>0</v>
      </c>
      <c r="N207" s="4" t="s">
        <v>6</v>
      </c>
      <c r="O207" s="4">
        <v>2</v>
      </c>
      <c r="P207" s="4"/>
      <c r="Q207" s="4"/>
      <c r="R207" s="4"/>
      <c r="S207" s="4"/>
      <c r="T207" s="4"/>
      <c r="U207" s="4"/>
      <c r="V207" s="4"/>
      <c r="W207" s="4"/>
    </row>
    <row r="209" spans="1:206" x14ac:dyDescent="0.2">
      <c r="A209" s="2">
        <v>51</v>
      </c>
      <c r="B209" s="2">
        <f>B20</f>
        <v>1</v>
      </c>
      <c r="C209" s="2">
        <f>A20</f>
        <v>3</v>
      </c>
      <c r="D209" s="2">
        <f>ROW(A20)</f>
        <v>20</v>
      </c>
      <c r="E209" s="2"/>
      <c r="F209" s="2">
        <f>IF(F20&lt;&gt;"",F20,"")</f>
        <v>1</v>
      </c>
      <c r="G209" s="2" t="str">
        <f>IF(G20&lt;&gt;"",G20,"")</f>
        <v>Строительство закрытых переходов при прокладке КЛ-20кВ</v>
      </c>
      <c r="H209" s="2">
        <v>0</v>
      </c>
      <c r="I209" s="2"/>
      <c r="J209" s="2"/>
      <c r="K209" s="2"/>
      <c r="L209" s="2"/>
      <c r="M209" s="2"/>
      <c r="N209" s="2"/>
      <c r="O209" s="2">
        <f t="shared" ref="O209:T209" si="198">ROUND(O173+AB209,2)</f>
        <v>10423686.65</v>
      </c>
      <c r="P209" s="2">
        <f t="shared" si="198"/>
        <v>6200815.9500000002</v>
      </c>
      <c r="Q209" s="2">
        <f t="shared" si="198"/>
        <v>3993667.43</v>
      </c>
      <c r="R209" s="2">
        <f t="shared" si="198"/>
        <v>754298.48</v>
      </c>
      <c r="S209" s="2">
        <f t="shared" si="198"/>
        <v>229203.27</v>
      </c>
      <c r="T209" s="2">
        <f t="shared" si="198"/>
        <v>0</v>
      </c>
      <c r="U209" s="2">
        <f>U173+AH209</f>
        <v>804.26659631999985</v>
      </c>
      <c r="V209" s="2">
        <f>V173+AI209</f>
        <v>0</v>
      </c>
      <c r="W209" s="2">
        <f>ROUND(W173+AJ209,2)</f>
        <v>0</v>
      </c>
      <c r="X209" s="2">
        <f>ROUND(X173+AK209,2)</f>
        <v>264365.76</v>
      </c>
      <c r="Y209" s="2">
        <f>ROUND(Y173+AL209,2)</f>
        <v>164047.19</v>
      </c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>
        <f t="shared" ref="AO209:BD209" si="199">ROUND(AO173+BX209,2)</f>
        <v>0</v>
      </c>
      <c r="AP209" s="2">
        <f t="shared" si="199"/>
        <v>0</v>
      </c>
      <c r="AQ209" s="2">
        <f t="shared" si="199"/>
        <v>0</v>
      </c>
      <c r="AR209" s="2">
        <f t="shared" si="199"/>
        <v>12036348.220000001</v>
      </c>
      <c r="AS209" s="2">
        <f t="shared" si="199"/>
        <v>12018008.529999999</v>
      </c>
      <c r="AT209" s="2">
        <f t="shared" si="199"/>
        <v>3034.46</v>
      </c>
      <c r="AU209" s="2">
        <f t="shared" si="199"/>
        <v>15305.23</v>
      </c>
      <c r="AV209" s="2">
        <f t="shared" si="199"/>
        <v>6200815.9500000002</v>
      </c>
      <c r="AW209" s="2">
        <f t="shared" si="199"/>
        <v>6200815.9500000002</v>
      </c>
      <c r="AX209" s="2">
        <f t="shared" si="199"/>
        <v>0</v>
      </c>
      <c r="AY209" s="2">
        <f t="shared" si="199"/>
        <v>6200815.9500000002</v>
      </c>
      <c r="AZ209" s="2">
        <f t="shared" si="199"/>
        <v>0</v>
      </c>
      <c r="BA209" s="2">
        <f t="shared" si="199"/>
        <v>0</v>
      </c>
      <c r="BB209" s="2">
        <f t="shared" si="199"/>
        <v>0</v>
      </c>
      <c r="BC209" s="2">
        <f t="shared" si="199"/>
        <v>0</v>
      </c>
      <c r="BD209" s="2">
        <f t="shared" si="199"/>
        <v>0</v>
      </c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  <c r="CZ209" s="2"/>
      <c r="DA209" s="2"/>
      <c r="DB209" s="2"/>
      <c r="DC209" s="2"/>
      <c r="DD209" s="2"/>
      <c r="DE209" s="2"/>
      <c r="DF209" s="2"/>
      <c r="DG209" s="3"/>
      <c r="DH209" s="3"/>
      <c r="DI209" s="3"/>
      <c r="DJ209" s="3"/>
      <c r="DK209" s="3"/>
      <c r="DL209" s="3"/>
      <c r="DM209" s="3"/>
      <c r="DN209" s="3"/>
      <c r="DO209" s="3"/>
      <c r="DP209" s="3"/>
      <c r="DQ209" s="3"/>
      <c r="DR209" s="3"/>
      <c r="DS209" s="3"/>
      <c r="DT209" s="3"/>
      <c r="DU209" s="3"/>
      <c r="DV209" s="3"/>
      <c r="DW209" s="3"/>
      <c r="DX209" s="3"/>
      <c r="DY209" s="3"/>
      <c r="DZ209" s="3"/>
      <c r="EA209" s="3"/>
      <c r="EB209" s="3"/>
      <c r="EC209" s="3"/>
      <c r="ED209" s="3"/>
      <c r="EE209" s="3"/>
      <c r="EF209" s="3"/>
      <c r="EG209" s="3"/>
      <c r="EH209" s="3"/>
      <c r="EI209" s="3"/>
      <c r="EJ209" s="3"/>
      <c r="EK209" s="3"/>
      <c r="EL209" s="3"/>
      <c r="EM209" s="3"/>
      <c r="EN209" s="3"/>
      <c r="EO209" s="3"/>
      <c r="EP209" s="3"/>
      <c r="EQ209" s="3"/>
      <c r="ER209" s="3"/>
      <c r="ES209" s="3"/>
      <c r="ET209" s="3"/>
      <c r="EU209" s="3"/>
      <c r="EV209" s="3"/>
      <c r="EW209" s="3"/>
      <c r="EX209" s="3"/>
      <c r="EY209" s="3"/>
      <c r="EZ209" s="3"/>
      <c r="FA209" s="3"/>
      <c r="FB209" s="3"/>
      <c r="FC209" s="3"/>
      <c r="FD209" s="3"/>
      <c r="FE209" s="3"/>
      <c r="FF209" s="3"/>
      <c r="FG209" s="3"/>
      <c r="FH209" s="3"/>
      <c r="FI209" s="3"/>
      <c r="FJ209" s="3"/>
      <c r="FK209" s="3"/>
      <c r="FL209" s="3"/>
      <c r="FM209" s="3"/>
      <c r="FN209" s="3"/>
      <c r="FO209" s="3"/>
      <c r="FP209" s="3"/>
      <c r="FQ209" s="3"/>
      <c r="FR209" s="3"/>
      <c r="FS209" s="3"/>
      <c r="FT209" s="3"/>
      <c r="FU209" s="3"/>
      <c r="FV209" s="3"/>
      <c r="FW209" s="3"/>
      <c r="FX209" s="3"/>
      <c r="FY209" s="3"/>
      <c r="FZ209" s="3"/>
      <c r="GA209" s="3"/>
      <c r="GB209" s="3"/>
      <c r="GC209" s="3"/>
      <c r="GD209" s="3"/>
      <c r="GE209" s="3"/>
      <c r="GF209" s="3"/>
      <c r="GG209" s="3"/>
      <c r="GH209" s="3"/>
      <c r="GI209" s="3"/>
      <c r="GJ209" s="3"/>
      <c r="GK209" s="3"/>
      <c r="GL209" s="3"/>
      <c r="GM209" s="3"/>
      <c r="GN209" s="3"/>
      <c r="GO209" s="3"/>
      <c r="GP209" s="3"/>
      <c r="GQ209" s="3"/>
      <c r="GR209" s="3"/>
      <c r="GS209" s="3"/>
      <c r="GT209" s="3"/>
      <c r="GU209" s="3"/>
      <c r="GV209" s="3"/>
      <c r="GW209" s="3"/>
      <c r="GX209" s="3">
        <v>0</v>
      </c>
    </row>
    <row r="211" spans="1:206" x14ac:dyDescent="0.2">
      <c r="A211" s="4">
        <v>50</v>
      </c>
      <c r="B211" s="4">
        <v>0</v>
      </c>
      <c r="C211" s="4">
        <v>0</v>
      </c>
      <c r="D211" s="4">
        <v>1</v>
      </c>
      <c r="E211" s="4">
        <v>201</v>
      </c>
      <c r="F211" s="4">
        <f>ROUND(Source!O209,O211)</f>
        <v>10423686.65</v>
      </c>
      <c r="G211" s="4" t="s">
        <v>120</v>
      </c>
      <c r="H211" s="4" t="s">
        <v>121</v>
      </c>
      <c r="I211" s="4"/>
      <c r="J211" s="4"/>
      <c r="K211" s="4">
        <v>201</v>
      </c>
      <c r="L211" s="4">
        <v>1</v>
      </c>
      <c r="M211" s="4">
        <v>3</v>
      </c>
      <c r="N211" s="4" t="s">
        <v>6</v>
      </c>
      <c r="O211" s="4">
        <v>2</v>
      </c>
      <c r="P211" s="4"/>
      <c r="Q211" s="4"/>
      <c r="R211" s="4"/>
      <c r="S211" s="4"/>
      <c r="T211" s="4"/>
      <c r="U211" s="4"/>
      <c r="V211" s="4"/>
      <c r="W211" s="4"/>
    </row>
    <row r="212" spans="1:206" x14ac:dyDescent="0.2">
      <c r="A212" s="4">
        <v>50</v>
      </c>
      <c r="B212" s="4">
        <v>0</v>
      </c>
      <c r="C212" s="4">
        <v>0</v>
      </c>
      <c r="D212" s="4">
        <v>1</v>
      </c>
      <c r="E212" s="4">
        <v>202</v>
      </c>
      <c r="F212" s="4">
        <f>ROUND(Source!P209,O212)</f>
        <v>6200815.9500000002</v>
      </c>
      <c r="G212" s="4" t="s">
        <v>122</v>
      </c>
      <c r="H212" s="4" t="s">
        <v>123</v>
      </c>
      <c r="I212" s="4"/>
      <c r="J212" s="4"/>
      <c r="K212" s="4">
        <v>202</v>
      </c>
      <c r="L212" s="4">
        <v>2</v>
      </c>
      <c r="M212" s="4">
        <v>3</v>
      </c>
      <c r="N212" s="4" t="s">
        <v>6</v>
      </c>
      <c r="O212" s="4">
        <v>2</v>
      </c>
      <c r="P212" s="4"/>
      <c r="Q212" s="4"/>
      <c r="R212" s="4"/>
      <c r="S212" s="4"/>
      <c r="T212" s="4"/>
      <c r="U212" s="4"/>
      <c r="V212" s="4"/>
      <c r="W212" s="4"/>
    </row>
    <row r="213" spans="1:206" x14ac:dyDescent="0.2">
      <c r="A213" s="4">
        <v>50</v>
      </c>
      <c r="B213" s="4">
        <v>0</v>
      </c>
      <c r="C213" s="4">
        <v>0</v>
      </c>
      <c r="D213" s="4">
        <v>1</v>
      </c>
      <c r="E213" s="4">
        <v>227</v>
      </c>
      <c r="F213" s="4">
        <f>ROUND(Source!AO209,O213)</f>
        <v>0</v>
      </c>
      <c r="G213" s="4" t="s">
        <v>124</v>
      </c>
      <c r="H213" s="4" t="s">
        <v>125</v>
      </c>
      <c r="I213" s="4"/>
      <c r="J213" s="4"/>
      <c r="K213" s="4">
        <v>222</v>
      </c>
      <c r="L213" s="4">
        <v>3</v>
      </c>
      <c r="M213" s="4">
        <v>3</v>
      </c>
      <c r="N213" s="4" t="s">
        <v>6</v>
      </c>
      <c r="O213" s="4">
        <v>2</v>
      </c>
      <c r="P213" s="4"/>
      <c r="Q213" s="4"/>
      <c r="R213" s="4"/>
      <c r="S213" s="4"/>
      <c r="T213" s="4"/>
      <c r="U213" s="4"/>
      <c r="V213" s="4"/>
      <c r="W213" s="4"/>
    </row>
    <row r="214" spans="1:206" x14ac:dyDescent="0.2">
      <c r="A214" s="4">
        <v>50</v>
      </c>
      <c r="B214" s="4">
        <v>0</v>
      </c>
      <c r="C214" s="4">
        <v>0</v>
      </c>
      <c r="D214" s="4">
        <v>1</v>
      </c>
      <c r="E214" s="4">
        <v>225</v>
      </c>
      <c r="F214" s="4">
        <f>ROUND(Source!AV209,O214)</f>
        <v>6200815.9500000002</v>
      </c>
      <c r="G214" s="4" t="s">
        <v>126</v>
      </c>
      <c r="H214" s="4" t="s">
        <v>127</v>
      </c>
      <c r="I214" s="4"/>
      <c r="J214" s="4"/>
      <c r="K214" s="4">
        <v>225</v>
      </c>
      <c r="L214" s="4">
        <v>4</v>
      </c>
      <c r="M214" s="4">
        <v>3</v>
      </c>
      <c r="N214" s="4" t="s">
        <v>6</v>
      </c>
      <c r="O214" s="4">
        <v>2</v>
      </c>
      <c r="P214" s="4"/>
      <c r="Q214" s="4"/>
      <c r="R214" s="4"/>
      <c r="S214" s="4"/>
      <c r="T214" s="4"/>
      <c r="U214" s="4"/>
      <c r="V214" s="4"/>
      <c r="W214" s="4"/>
    </row>
    <row r="215" spans="1:206" x14ac:dyDescent="0.2">
      <c r="A215" s="4">
        <v>50</v>
      </c>
      <c r="B215" s="4">
        <v>0</v>
      </c>
      <c r="C215" s="4">
        <v>0</v>
      </c>
      <c r="D215" s="4">
        <v>1</v>
      </c>
      <c r="E215" s="4">
        <v>226</v>
      </c>
      <c r="F215" s="4">
        <f>ROUND(Source!AW209,O215)</f>
        <v>6200815.9500000002</v>
      </c>
      <c r="G215" s="4" t="s">
        <v>128</v>
      </c>
      <c r="H215" s="4" t="s">
        <v>129</v>
      </c>
      <c r="I215" s="4"/>
      <c r="J215" s="4"/>
      <c r="K215" s="4">
        <v>226</v>
      </c>
      <c r="L215" s="4">
        <v>5</v>
      </c>
      <c r="M215" s="4">
        <v>3</v>
      </c>
      <c r="N215" s="4" t="s">
        <v>6</v>
      </c>
      <c r="O215" s="4">
        <v>2</v>
      </c>
      <c r="P215" s="4"/>
      <c r="Q215" s="4"/>
      <c r="R215" s="4"/>
      <c r="S215" s="4"/>
      <c r="T215" s="4"/>
      <c r="U215" s="4"/>
      <c r="V215" s="4"/>
      <c r="W215" s="4"/>
    </row>
    <row r="216" spans="1:206" x14ac:dyDescent="0.2">
      <c r="A216" s="4">
        <v>50</v>
      </c>
      <c r="B216" s="4">
        <v>0</v>
      </c>
      <c r="C216" s="4">
        <v>0</v>
      </c>
      <c r="D216" s="4">
        <v>1</v>
      </c>
      <c r="E216" s="4">
        <v>0</v>
      </c>
      <c r="F216" s="4">
        <f>ROUND(Source!AX209,O216)</f>
        <v>0</v>
      </c>
      <c r="G216" s="4" t="s">
        <v>130</v>
      </c>
      <c r="H216" s="4" t="s">
        <v>131</v>
      </c>
      <c r="I216" s="4"/>
      <c r="J216" s="4"/>
      <c r="K216" s="4">
        <v>227</v>
      </c>
      <c r="L216" s="4">
        <v>6</v>
      </c>
      <c r="M216" s="4">
        <v>3</v>
      </c>
      <c r="N216" s="4" t="s">
        <v>6</v>
      </c>
      <c r="O216" s="4">
        <v>2</v>
      </c>
      <c r="P216" s="4"/>
      <c r="Q216" s="4"/>
      <c r="R216" s="4"/>
      <c r="S216" s="4"/>
      <c r="T216" s="4"/>
      <c r="U216" s="4"/>
      <c r="V216" s="4"/>
      <c r="W216" s="4"/>
    </row>
    <row r="217" spans="1:206" x14ac:dyDescent="0.2">
      <c r="A217" s="4">
        <v>50</v>
      </c>
      <c r="B217" s="4">
        <v>0</v>
      </c>
      <c r="C217" s="4">
        <v>0</v>
      </c>
      <c r="D217" s="4">
        <v>1</v>
      </c>
      <c r="E217" s="4">
        <v>228</v>
      </c>
      <c r="F217" s="4">
        <f>ROUND(Source!AY209,O217)</f>
        <v>6200815.9500000002</v>
      </c>
      <c r="G217" s="4" t="s">
        <v>132</v>
      </c>
      <c r="H217" s="4" t="s">
        <v>133</v>
      </c>
      <c r="I217" s="4"/>
      <c r="J217" s="4"/>
      <c r="K217" s="4">
        <v>228</v>
      </c>
      <c r="L217" s="4">
        <v>7</v>
      </c>
      <c r="M217" s="4">
        <v>3</v>
      </c>
      <c r="N217" s="4" t="s">
        <v>6</v>
      </c>
      <c r="O217" s="4">
        <v>2</v>
      </c>
      <c r="P217" s="4"/>
      <c r="Q217" s="4"/>
      <c r="R217" s="4"/>
      <c r="S217" s="4"/>
      <c r="T217" s="4"/>
      <c r="U217" s="4"/>
      <c r="V217" s="4"/>
      <c r="W217" s="4"/>
    </row>
    <row r="218" spans="1:206" x14ac:dyDescent="0.2">
      <c r="A218" s="4">
        <v>50</v>
      </c>
      <c r="B218" s="4">
        <v>0</v>
      </c>
      <c r="C218" s="4">
        <v>0</v>
      </c>
      <c r="D218" s="4">
        <v>1</v>
      </c>
      <c r="E218" s="4">
        <v>216</v>
      </c>
      <c r="F218" s="4">
        <f>ROUND(Source!AP209,O218)</f>
        <v>0</v>
      </c>
      <c r="G218" s="4" t="s">
        <v>134</v>
      </c>
      <c r="H218" s="4" t="s">
        <v>135</v>
      </c>
      <c r="I218" s="4"/>
      <c r="J218" s="4"/>
      <c r="K218" s="4">
        <v>216</v>
      </c>
      <c r="L218" s="4">
        <v>8</v>
      </c>
      <c r="M218" s="4">
        <v>3</v>
      </c>
      <c r="N218" s="4" t="s">
        <v>6</v>
      </c>
      <c r="O218" s="4">
        <v>2</v>
      </c>
      <c r="P218" s="4"/>
      <c r="Q218" s="4"/>
      <c r="R218" s="4"/>
      <c r="S218" s="4"/>
      <c r="T218" s="4"/>
      <c r="U218" s="4"/>
      <c r="V218" s="4"/>
      <c r="W218" s="4"/>
    </row>
    <row r="219" spans="1:206" x14ac:dyDescent="0.2">
      <c r="A219" s="4">
        <v>50</v>
      </c>
      <c r="B219" s="4">
        <v>0</v>
      </c>
      <c r="C219" s="4">
        <v>0</v>
      </c>
      <c r="D219" s="4">
        <v>1</v>
      </c>
      <c r="E219" s="4">
        <v>223</v>
      </c>
      <c r="F219" s="4">
        <f>ROUND(Source!AQ209,O219)</f>
        <v>0</v>
      </c>
      <c r="G219" s="4" t="s">
        <v>136</v>
      </c>
      <c r="H219" s="4" t="s">
        <v>137</v>
      </c>
      <c r="I219" s="4"/>
      <c r="J219" s="4"/>
      <c r="K219" s="4">
        <v>223</v>
      </c>
      <c r="L219" s="4">
        <v>9</v>
      </c>
      <c r="M219" s="4">
        <v>3</v>
      </c>
      <c r="N219" s="4" t="s">
        <v>6</v>
      </c>
      <c r="O219" s="4">
        <v>2</v>
      </c>
      <c r="P219" s="4"/>
      <c r="Q219" s="4"/>
      <c r="R219" s="4"/>
      <c r="S219" s="4"/>
      <c r="T219" s="4"/>
      <c r="U219" s="4"/>
      <c r="V219" s="4"/>
      <c r="W219" s="4"/>
    </row>
    <row r="220" spans="1:206" x14ac:dyDescent="0.2">
      <c r="A220" s="4">
        <v>50</v>
      </c>
      <c r="B220" s="4">
        <v>0</v>
      </c>
      <c r="C220" s="4">
        <v>0</v>
      </c>
      <c r="D220" s="4">
        <v>1</v>
      </c>
      <c r="E220" s="4">
        <v>229</v>
      </c>
      <c r="F220" s="4">
        <f>ROUND(Source!AZ209,O220)</f>
        <v>0</v>
      </c>
      <c r="G220" s="4" t="s">
        <v>138</v>
      </c>
      <c r="H220" s="4" t="s">
        <v>139</v>
      </c>
      <c r="I220" s="4"/>
      <c r="J220" s="4"/>
      <c r="K220" s="4">
        <v>229</v>
      </c>
      <c r="L220" s="4">
        <v>10</v>
      </c>
      <c r="M220" s="4">
        <v>3</v>
      </c>
      <c r="N220" s="4" t="s">
        <v>6</v>
      </c>
      <c r="O220" s="4">
        <v>2</v>
      </c>
      <c r="P220" s="4"/>
      <c r="Q220" s="4"/>
      <c r="R220" s="4"/>
      <c r="S220" s="4"/>
      <c r="T220" s="4"/>
      <c r="U220" s="4"/>
      <c r="V220" s="4"/>
      <c r="W220" s="4"/>
    </row>
    <row r="221" spans="1:206" x14ac:dyDescent="0.2">
      <c r="A221" s="4">
        <v>50</v>
      </c>
      <c r="B221" s="4">
        <v>0</v>
      </c>
      <c r="C221" s="4">
        <v>0</v>
      </c>
      <c r="D221" s="4">
        <v>1</v>
      </c>
      <c r="E221" s="4">
        <v>203</v>
      </c>
      <c r="F221" s="4">
        <f>ROUND(Source!Q209,O221)</f>
        <v>3993667.43</v>
      </c>
      <c r="G221" s="4" t="s">
        <v>140</v>
      </c>
      <c r="H221" s="4" t="s">
        <v>141</v>
      </c>
      <c r="I221" s="4"/>
      <c r="J221" s="4"/>
      <c r="K221" s="4">
        <v>203</v>
      </c>
      <c r="L221" s="4">
        <v>11</v>
      </c>
      <c r="M221" s="4">
        <v>3</v>
      </c>
      <c r="N221" s="4" t="s">
        <v>6</v>
      </c>
      <c r="O221" s="4">
        <v>2</v>
      </c>
      <c r="P221" s="4"/>
      <c r="Q221" s="4"/>
      <c r="R221" s="4"/>
      <c r="S221" s="4"/>
      <c r="T221" s="4"/>
      <c r="U221" s="4"/>
      <c r="V221" s="4"/>
      <c r="W221" s="4"/>
    </row>
    <row r="222" spans="1:206" x14ac:dyDescent="0.2">
      <c r="A222" s="4">
        <v>50</v>
      </c>
      <c r="B222" s="4">
        <v>0</v>
      </c>
      <c r="C222" s="4">
        <v>0</v>
      </c>
      <c r="D222" s="4">
        <v>1</v>
      </c>
      <c r="E222" s="4">
        <v>231</v>
      </c>
      <c r="F222" s="4">
        <f>ROUND(Source!BB209,O222)</f>
        <v>0</v>
      </c>
      <c r="G222" s="4" t="s">
        <v>142</v>
      </c>
      <c r="H222" s="4" t="s">
        <v>143</v>
      </c>
      <c r="I222" s="4"/>
      <c r="J222" s="4"/>
      <c r="K222" s="4">
        <v>231</v>
      </c>
      <c r="L222" s="4">
        <v>12</v>
      </c>
      <c r="M222" s="4">
        <v>3</v>
      </c>
      <c r="N222" s="4" t="s">
        <v>6</v>
      </c>
      <c r="O222" s="4">
        <v>2</v>
      </c>
      <c r="P222" s="4"/>
      <c r="Q222" s="4"/>
      <c r="R222" s="4"/>
      <c r="S222" s="4"/>
      <c r="T222" s="4"/>
      <c r="U222" s="4"/>
      <c r="V222" s="4"/>
      <c r="W222" s="4"/>
    </row>
    <row r="223" spans="1:206" x14ac:dyDescent="0.2">
      <c r="A223" s="4">
        <v>50</v>
      </c>
      <c r="B223" s="4">
        <v>0</v>
      </c>
      <c r="C223" s="4">
        <v>0</v>
      </c>
      <c r="D223" s="4">
        <v>1</v>
      </c>
      <c r="E223" s="4">
        <v>204</v>
      </c>
      <c r="F223" s="4">
        <f>ROUND(Source!R209,O223)</f>
        <v>754298.48</v>
      </c>
      <c r="G223" s="4" t="s">
        <v>144</v>
      </c>
      <c r="H223" s="4" t="s">
        <v>145</v>
      </c>
      <c r="I223" s="4"/>
      <c r="J223" s="4"/>
      <c r="K223" s="4">
        <v>204</v>
      </c>
      <c r="L223" s="4">
        <v>13</v>
      </c>
      <c r="M223" s="4">
        <v>3</v>
      </c>
      <c r="N223" s="4" t="s">
        <v>6</v>
      </c>
      <c r="O223" s="4">
        <v>2</v>
      </c>
      <c r="P223" s="4"/>
      <c r="Q223" s="4"/>
      <c r="R223" s="4"/>
      <c r="S223" s="4"/>
      <c r="T223" s="4"/>
      <c r="U223" s="4"/>
      <c r="V223" s="4"/>
      <c r="W223" s="4"/>
    </row>
    <row r="224" spans="1:206" x14ac:dyDescent="0.2">
      <c r="A224" s="4">
        <v>50</v>
      </c>
      <c r="B224" s="4">
        <v>0</v>
      </c>
      <c r="C224" s="4">
        <v>0</v>
      </c>
      <c r="D224" s="4">
        <v>1</v>
      </c>
      <c r="E224" s="4">
        <v>205</v>
      </c>
      <c r="F224" s="4">
        <f>ROUND(Source!S209,O224)</f>
        <v>229203.27</v>
      </c>
      <c r="G224" s="4" t="s">
        <v>146</v>
      </c>
      <c r="H224" s="4" t="s">
        <v>147</v>
      </c>
      <c r="I224" s="4"/>
      <c r="J224" s="4"/>
      <c r="K224" s="4">
        <v>205</v>
      </c>
      <c r="L224" s="4">
        <v>14</v>
      </c>
      <c r="M224" s="4">
        <v>3</v>
      </c>
      <c r="N224" s="4" t="s">
        <v>6</v>
      </c>
      <c r="O224" s="4">
        <v>2</v>
      </c>
      <c r="P224" s="4"/>
      <c r="Q224" s="4"/>
      <c r="R224" s="4"/>
      <c r="S224" s="4"/>
      <c r="T224" s="4"/>
      <c r="U224" s="4"/>
      <c r="V224" s="4"/>
      <c r="W224" s="4"/>
    </row>
    <row r="225" spans="1:23" x14ac:dyDescent="0.2">
      <c r="A225" s="4">
        <v>50</v>
      </c>
      <c r="B225" s="4">
        <v>0</v>
      </c>
      <c r="C225" s="4">
        <v>0</v>
      </c>
      <c r="D225" s="4">
        <v>1</v>
      </c>
      <c r="E225" s="4">
        <v>232</v>
      </c>
      <c r="F225" s="4">
        <f>ROUND(Source!BC209,O225)</f>
        <v>0</v>
      </c>
      <c r="G225" s="4" t="s">
        <v>148</v>
      </c>
      <c r="H225" s="4" t="s">
        <v>149</v>
      </c>
      <c r="I225" s="4"/>
      <c r="J225" s="4"/>
      <c r="K225" s="4">
        <v>232</v>
      </c>
      <c r="L225" s="4">
        <v>15</v>
      </c>
      <c r="M225" s="4">
        <v>3</v>
      </c>
      <c r="N225" s="4" t="s">
        <v>6</v>
      </c>
      <c r="O225" s="4">
        <v>2</v>
      </c>
      <c r="P225" s="4"/>
      <c r="Q225" s="4"/>
      <c r="R225" s="4"/>
      <c r="S225" s="4"/>
      <c r="T225" s="4"/>
      <c r="U225" s="4"/>
      <c r="V225" s="4"/>
      <c r="W225" s="4"/>
    </row>
    <row r="226" spans="1:23" x14ac:dyDescent="0.2">
      <c r="A226" s="4">
        <v>50</v>
      </c>
      <c r="B226" s="4">
        <v>0</v>
      </c>
      <c r="C226" s="4">
        <v>0</v>
      </c>
      <c r="D226" s="4">
        <v>1</v>
      </c>
      <c r="E226" s="4">
        <v>214</v>
      </c>
      <c r="F226" s="4">
        <f>ROUND(Source!AS209,O226)</f>
        <v>12018008.529999999</v>
      </c>
      <c r="G226" s="4" t="s">
        <v>150</v>
      </c>
      <c r="H226" s="4" t="s">
        <v>151</v>
      </c>
      <c r="I226" s="4"/>
      <c r="J226" s="4"/>
      <c r="K226" s="4">
        <v>214</v>
      </c>
      <c r="L226" s="4">
        <v>16</v>
      </c>
      <c r="M226" s="4">
        <v>3</v>
      </c>
      <c r="N226" s="4" t="s">
        <v>6</v>
      </c>
      <c r="O226" s="4">
        <v>2</v>
      </c>
      <c r="P226" s="4"/>
      <c r="Q226" s="4"/>
      <c r="R226" s="4"/>
      <c r="S226" s="4"/>
      <c r="T226" s="4"/>
      <c r="U226" s="4"/>
      <c r="V226" s="4"/>
      <c r="W226" s="4"/>
    </row>
    <row r="227" spans="1:23" x14ac:dyDescent="0.2">
      <c r="A227" s="4">
        <v>50</v>
      </c>
      <c r="B227" s="4">
        <v>0</v>
      </c>
      <c r="C227" s="4">
        <v>0</v>
      </c>
      <c r="D227" s="4">
        <v>1</v>
      </c>
      <c r="E227" s="4">
        <v>215</v>
      </c>
      <c r="F227" s="4">
        <f>ROUND(Source!AT209,O227)</f>
        <v>3034.46</v>
      </c>
      <c r="G227" s="4" t="s">
        <v>152</v>
      </c>
      <c r="H227" s="4" t="s">
        <v>153</v>
      </c>
      <c r="I227" s="4"/>
      <c r="J227" s="4"/>
      <c r="K227" s="4">
        <v>215</v>
      </c>
      <c r="L227" s="4">
        <v>17</v>
      </c>
      <c r="M227" s="4">
        <v>3</v>
      </c>
      <c r="N227" s="4" t="s">
        <v>6</v>
      </c>
      <c r="O227" s="4">
        <v>2</v>
      </c>
      <c r="P227" s="4"/>
      <c r="Q227" s="4"/>
      <c r="R227" s="4"/>
      <c r="S227" s="4"/>
      <c r="T227" s="4"/>
      <c r="U227" s="4"/>
      <c r="V227" s="4"/>
      <c r="W227" s="4"/>
    </row>
    <row r="228" spans="1:23" x14ac:dyDescent="0.2">
      <c r="A228" s="4">
        <v>50</v>
      </c>
      <c r="B228" s="4">
        <v>0</v>
      </c>
      <c r="C228" s="4">
        <v>0</v>
      </c>
      <c r="D228" s="4">
        <v>1</v>
      </c>
      <c r="E228" s="4">
        <v>217</v>
      </c>
      <c r="F228" s="4">
        <f>ROUND(Source!AU209,O228)</f>
        <v>15305.23</v>
      </c>
      <c r="G228" s="4" t="s">
        <v>154</v>
      </c>
      <c r="H228" s="4" t="s">
        <v>155</v>
      </c>
      <c r="I228" s="4"/>
      <c r="J228" s="4"/>
      <c r="K228" s="4">
        <v>217</v>
      </c>
      <c r="L228" s="4">
        <v>18</v>
      </c>
      <c r="M228" s="4">
        <v>3</v>
      </c>
      <c r="N228" s="4" t="s">
        <v>6</v>
      </c>
      <c r="O228" s="4">
        <v>2</v>
      </c>
      <c r="P228" s="4"/>
      <c r="Q228" s="4"/>
      <c r="R228" s="4"/>
      <c r="S228" s="4"/>
      <c r="T228" s="4"/>
      <c r="U228" s="4"/>
      <c r="V228" s="4"/>
      <c r="W228" s="4"/>
    </row>
    <row r="229" spans="1:23" x14ac:dyDescent="0.2">
      <c r="A229" s="4">
        <v>50</v>
      </c>
      <c r="B229" s="4">
        <v>0</v>
      </c>
      <c r="C229" s="4">
        <v>0</v>
      </c>
      <c r="D229" s="4">
        <v>1</v>
      </c>
      <c r="E229" s="4">
        <v>230</v>
      </c>
      <c r="F229" s="4">
        <f>ROUND(Source!BA209,O229)</f>
        <v>0</v>
      </c>
      <c r="G229" s="4" t="s">
        <v>156</v>
      </c>
      <c r="H229" s="4" t="s">
        <v>157</v>
      </c>
      <c r="I229" s="4"/>
      <c r="J229" s="4"/>
      <c r="K229" s="4">
        <v>230</v>
      </c>
      <c r="L229" s="4">
        <v>19</v>
      </c>
      <c r="M229" s="4">
        <v>3</v>
      </c>
      <c r="N229" s="4" t="s">
        <v>6</v>
      </c>
      <c r="O229" s="4">
        <v>2</v>
      </c>
      <c r="P229" s="4"/>
      <c r="Q229" s="4"/>
      <c r="R229" s="4"/>
      <c r="S229" s="4"/>
      <c r="T229" s="4"/>
      <c r="U229" s="4"/>
      <c r="V229" s="4"/>
      <c r="W229" s="4"/>
    </row>
    <row r="230" spans="1:23" x14ac:dyDescent="0.2">
      <c r="A230" s="4">
        <v>50</v>
      </c>
      <c r="B230" s="4">
        <v>0</v>
      </c>
      <c r="C230" s="4">
        <v>0</v>
      </c>
      <c r="D230" s="4">
        <v>1</v>
      </c>
      <c r="E230" s="4">
        <v>206</v>
      </c>
      <c r="F230" s="4">
        <f>ROUND(Source!T209,O230)</f>
        <v>0</v>
      </c>
      <c r="G230" s="4" t="s">
        <v>158</v>
      </c>
      <c r="H230" s="4" t="s">
        <v>159</v>
      </c>
      <c r="I230" s="4"/>
      <c r="J230" s="4"/>
      <c r="K230" s="4">
        <v>206</v>
      </c>
      <c r="L230" s="4">
        <v>20</v>
      </c>
      <c r="M230" s="4">
        <v>3</v>
      </c>
      <c r="N230" s="4" t="s">
        <v>6</v>
      </c>
      <c r="O230" s="4">
        <v>2</v>
      </c>
      <c r="P230" s="4"/>
      <c r="Q230" s="4"/>
      <c r="R230" s="4"/>
      <c r="S230" s="4"/>
      <c r="T230" s="4"/>
      <c r="U230" s="4"/>
      <c r="V230" s="4"/>
      <c r="W230" s="4"/>
    </row>
    <row r="231" spans="1:23" x14ac:dyDescent="0.2">
      <c r="A231" s="4">
        <v>50</v>
      </c>
      <c r="B231" s="4">
        <v>0</v>
      </c>
      <c r="C231" s="4">
        <v>0</v>
      </c>
      <c r="D231" s="4">
        <v>1</v>
      </c>
      <c r="E231" s="4">
        <v>207</v>
      </c>
      <c r="F231" s="4">
        <f>ROUND(Source!U209,O231)</f>
        <v>804.27</v>
      </c>
      <c r="G231" s="4" t="s">
        <v>160</v>
      </c>
      <c r="H231" s="4" t="s">
        <v>161</v>
      </c>
      <c r="I231" s="4"/>
      <c r="J231" s="4"/>
      <c r="K231" s="4">
        <v>207</v>
      </c>
      <c r="L231" s="4">
        <v>21</v>
      </c>
      <c r="M231" s="4">
        <v>3</v>
      </c>
      <c r="N231" s="4" t="s">
        <v>6</v>
      </c>
      <c r="O231" s="4">
        <v>2</v>
      </c>
      <c r="P231" s="4"/>
      <c r="Q231" s="4"/>
      <c r="R231" s="4"/>
      <c r="S231" s="4"/>
      <c r="T231" s="4"/>
      <c r="U231" s="4"/>
      <c r="V231" s="4"/>
      <c r="W231" s="4"/>
    </row>
    <row r="232" spans="1:23" x14ac:dyDescent="0.2">
      <c r="A232" s="4">
        <v>50</v>
      </c>
      <c r="B232" s="4">
        <v>0</v>
      </c>
      <c r="C232" s="4">
        <v>0</v>
      </c>
      <c r="D232" s="4">
        <v>1</v>
      </c>
      <c r="E232" s="4">
        <v>208</v>
      </c>
      <c r="F232" s="4">
        <f>ROUND(Source!V209,O232)</f>
        <v>0</v>
      </c>
      <c r="G232" s="4" t="s">
        <v>162</v>
      </c>
      <c r="H232" s="4" t="s">
        <v>163</v>
      </c>
      <c r="I232" s="4"/>
      <c r="J232" s="4"/>
      <c r="K232" s="4">
        <v>208</v>
      </c>
      <c r="L232" s="4">
        <v>22</v>
      </c>
      <c r="M232" s="4">
        <v>3</v>
      </c>
      <c r="N232" s="4" t="s">
        <v>6</v>
      </c>
      <c r="O232" s="4">
        <v>2</v>
      </c>
      <c r="P232" s="4"/>
      <c r="Q232" s="4"/>
      <c r="R232" s="4"/>
      <c r="S232" s="4"/>
      <c r="T232" s="4"/>
      <c r="U232" s="4"/>
      <c r="V232" s="4"/>
      <c r="W232" s="4"/>
    </row>
    <row r="233" spans="1:23" x14ac:dyDescent="0.2">
      <c r="A233" s="4">
        <v>50</v>
      </c>
      <c r="B233" s="4">
        <v>0</v>
      </c>
      <c r="C233" s="4">
        <v>0</v>
      </c>
      <c r="D233" s="4">
        <v>1</v>
      </c>
      <c r="E233" s="4">
        <v>209</v>
      </c>
      <c r="F233" s="4">
        <f>ROUND(Source!W209,O233)</f>
        <v>0</v>
      </c>
      <c r="G233" s="4" t="s">
        <v>164</v>
      </c>
      <c r="H233" s="4" t="s">
        <v>165</v>
      </c>
      <c r="I233" s="4"/>
      <c r="J233" s="4"/>
      <c r="K233" s="4">
        <v>209</v>
      </c>
      <c r="L233" s="4">
        <v>23</v>
      </c>
      <c r="M233" s="4">
        <v>3</v>
      </c>
      <c r="N233" s="4" t="s">
        <v>6</v>
      </c>
      <c r="O233" s="4">
        <v>2</v>
      </c>
      <c r="P233" s="4"/>
      <c r="Q233" s="4"/>
      <c r="R233" s="4"/>
      <c r="S233" s="4"/>
      <c r="T233" s="4"/>
      <c r="U233" s="4"/>
      <c r="V233" s="4"/>
      <c r="W233" s="4"/>
    </row>
    <row r="234" spans="1:23" x14ac:dyDescent="0.2">
      <c r="A234" s="4">
        <v>50</v>
      </c>
      <c r="B234" s="4">
        <v>0</v>
      </c>
      <c r="C234" s="4">
        <v>0</v>
      </c>
      <c r="D234" s="4">
        <v>1</v>
      </c>
      <c r="E234" s="4">
        <v>233</v>
      </c>
      <c r="F234" s="4">
        <f>ROUND(Source!BD209,O234)</f>
        <v>0</v>
      </c>
      <c r="G234" s="4" t="s">
        <v>166</v>
      </c>
      <c r="H234" s="4" t="s">
        <v>167</v>
      </c>
      <c r="I234" s="4"/>
      <c r="J234" s="4"/>
      <c r="K234" s="4">
        <v>233</v>
      </c>
      <c r="L234" s="4">
        <v>24</v>
      </c>
      <c r="M234" s="4">
        <v>3</v>
      </c>
      <c r="N234" s="4" t="s">
        <v>6</v>
      </c>
      <c r="O234" s="4">
        <v>2</v>
      </c>
      <c r="P234" s="4"/>
      <c r="Q234" s="4"/>
      <c r="R234" s="4"/>
      <c r="S234" s="4"/>
      <c r="T234" s="4"/>
      <c r="U234" s="4"/>
      <c r="V234" s="4"/>
      <c r="W234" s="4"/>
    </row>
    <row r="235" spans="1:23" x14ac:dyDescent="0.2">
      <c r="A235" s="4">
        <v>50</v>
      </c>
      <c r="B235" s="4">
        <v>0</v>
      </c>
      <c r="C235" s="4">
        <v>0</v>
      </c>
      <c r="D235" s="4">
        <v>1</v>
      </c>
      <c r="E235" s="4">
        <v>210</v>
      </c>
      <c r="F235" s="4">
        <f>ROUND(Source!X209,O235)</f>
        <v>264365.76</v>
      </c>
      <c r="G235" s="4" t="s">
        <v>168</v>
      </c>
      <c r="H235" s="4" t="s">
        <v>169</v>
      </c>
      <c r="I235" s="4"/>
      <c r="J235" s="4"/>
      <c r="K235" s="4">
        <v>210</v>
      </c>
      <c r="L235" s="4">
        <v>25</v>
      </c>
      <c r="M235" s="4">
        <v>3</v>
      </c>
      <c r="N235" s="4" t="s">
        <v>6</v>
      </c>
      <c r="O235" s="4">
        <v>2</v>
      </c>
      <c r="P235" s="4"/>
      <c r="Q235" s="4"/>
      <c r="R235" s="4"/>
      <c r="S235" s="4"/>
      <c r="T235" s="4"/>
      <c r="U235" s="4"/>
      <c r="V235" s="4"/>
      <c r="W235" s="4"/>
    </row>
    <row r="236" spans="1:23" x14ac:dyDescent="0.2">
      <c r="A236" s="4">
        <v>50</v>
      </c>
      <c r="B236" s="4">
        <v>0</v>
      </c>
      <c r="C236" s="4">
        <v>0</v>
      </c>
      <c r="D236" s="4">
        <v>1</v>
      </c>
      <c r="E236" s="4">
        <v>211</v>
      </c>
      <c r="F236" s="4">
        <f>ROUND(Source!Y209,O236)</f>
        <v>164047.19</v>
      </c>
      <c r="G236" s="4" t="s">
        <v>170</v>
      </c>
      <c r="H236" s="4" t="s">
        <v>171</v>
      </c>
      <c r="I236" s="4"/>
      <c r="J236" s="4"/>
      <c r="K236" s="4">
        <v>211</v>
      </c>
      <c r="L236" s="4">
        <v>26</v>
      </c>
      <c r="M236" s="4">
        <v>3</v>
      </c>
      <c r="N236" s="4" t="s">
        <v>6</v>
      </c>
      <c r="O236" s="4">
        <v>2</v>
      </c>
      <c r="P236" s="4"/>
      <c r="Q236" s="4"/>
      <c r="R236" s="4"/>
      <c r="S236" s="4"/>
      <c r="T236" s="4"/>
      <c r="U236" s="4"/>
      <c r="V236" s="4"/>
      <c r="W236" s="4"/>
    </row>
    <row r="237" spans="1:23" x14ac:dyDescent="0.2">
      <c r="A237" s="4">
        <v>50</v>
      </c>
      <c r="B237" s="4">
        <v>0</v>
      </c>
      <c r="C237" s="4">
        <v>0</v>
      </c>
      <c r="D237" s="4">
        <v>1</v>
      </c>
      <c r="E237" s="4">
        <v>224</v>
      </c>
      <c r="F237" s="4">
        <f>ROUND(Source!AR209,O237)</f>
        <v>12036348.220000001</v>
      </c>
      <c r="G237" s="4" t="s">
        <v>172</v>
      </c>
      <c r="H237" s="4" t="s">
        <v>173</v>
      </c>
      <c r="I237" s="4"/>
      <c r="J237" s="4"/>
      <c r="K237" s="4">
        <v>224</v>
      </c>
      <c r="L237" s="4">
        <v>27</v>
      </c>
      <c r="M237" s="4">
        <v>3</v>
      </c>
      <c r="N237" s="4" t="s">
        <v>6</v>
      </c>
      <c r="O237" s="4">
        <v>2</v>
      </c>
      <c r="P237" s="4"/>
      <c r="Q237" s="4"/>
      <c r="R237" s="4"/>
      <c r="S237" s="4"/>
      <c r="T237" s="4"/>
      <c r="U237" s="4"/>
      <c r="V237" s="4"/>
      <c r="W237" s="4"/>
    </row>
    <row r="238" spans="1:23" x14ac:dyDescent="0.2">
      <c r="A238" s="4">
        <v>50</v>
      </c>
      <c r="B238" s="4">
        <v>1</v>
      </c>
      <c r="C238" s="4">
        <v>0</v>
      </c>
      <c r="D238" s="4">
        <v>2</v>
      </c>
      <c r="E238" s="4">
        <v>0</v>
      </c>
      <c r="F238" s="4">
        <f>ROUND(F97,O238)</f>
        <v>12016912.83</v>
      </c>
      <c r="G238" s="4" t="s">
        <v>208</v>
      </c>
      <c r="H238" s="4" t="s">
        <v>29</v>
      </c>
      <c r="I238" s="4"/>
      <c r="J238" s="4"/>
      <c r="K238" s="4">
        <v>212</v>
      </c>
      <c r="L238" s="4">
        <v>28</v>
      </c>
      <c r="M238" s="4">
        <v>0</v>
      </c>
      <c r="N238" s="4" t="s">
        <v>6</v>
      </c>
      <c r="O238" s="4">
        <v>2</v>
      </c>
      <c r="P238" s="4"/>
      <c r="Q238" s="4"/>
      <c r="R238" s="4"/>
      <c r="S238" s="4"/>
      <c r="T238" s="4"/>
      <c r="U238" s="4"/>
      <c r="V238" s="4"/>
      <c r="W238" s="4"/>
    </row>
    <row r="239" spans="1:23" x14ac:dyDescent="0.2">
      <c r="A239" s="4">
        <v>50</v>
      </c>
      <c r="B239" s="4">
        <v>1</v>
      </c>
      <c r="C239" s="4">
        <v>0</v>
      </c>
      <c r="D239" s="4">
        <v>2</v>
      </c>
      <c r="E239" s="4">
        <v>0</v>
      </c>
      <c r="F239" s="4">
        <f>ROUND(F134,O239)</f>
        <v>4130.16</v>
      </c>
      <c r="G239" s="4" t="s">
        <v>209</v>
      </c>
      <c r="H239" s="4" t="s">
        <v>210</v>
      </c>
      <c r="I239" s="4"/>
      <c r="J239" s="4"/>
      <c r="K239" s="4">
        <v>212</v>
      </c>
      <c r="L239" s="4">
        <v>29</v>
      </c>
      <c r="M239" s="4">
        <v>0</v>
      </c>
      <c r="N239" s="4" t="s">
        <v>6</v>
      </c>
      <c r="O239" s="4">
        <v>2</v>
      </c>
      <c r="P239" s="4"/>
      <c r="Q239" s="4"/>
      <c r="R239" s="4"/>
      <c r="S239" s="4"/>
      <c r="T239" s="4"/>
      <c r="U239" s="4"/>
      <c r="V239" s="4"/>
      <c r="W239" s="4"/>
    </row>
    <row r="240" spans="1:23" x14ac:dyDescent="0.2">
      <c r="A240" s="4">
        <v>50</v>
      </c>
      <c r="B240" s="4">
        <v>1</v>
      </c>
      <c r="C240" s="4">
        <v>0</v>
      </c>
      <c r="D240" s="4">
        <v>2</v>
      </c>
      <c r="E240" s="4">
        <v>0</v>
      </c>
      <c r="F240" s="4">
        <f>ROUND((F238+F239)*0.015,O240)</f>
        <v>180315.64</v>
      </c>
      <c r="G240" s="4" t="s">
        <v>211</v>
      </c>
      <c r="H240" s="4" t="s">
        <v>212</v>
      </c>
      <c r="I240" s="4"/>
      <c r="J240" s="4"/>
      <c r="K240" s="4">
        <v>212</v>
      </c>
      <c r="L240" s="4">
        <v>30</v>
      </c>
      <c r="M240" s="4">
        <v>0</v>
      </c>
      <c r="N240" s="4" t="s">
        <v>6</v>
      </c>
      <c r="O240" s="4">
        <v>2</v>
      </c>
      <c r="P240" s="4"/>
      <c r="Q240" s="4"/>
      <c r="R240" s="4"/>
      <c r="S240" s="4"/>
      <c r="T240" s="4"/>
      <c r="U240" s="4"/>
      <c r="V240" s="4"/>
      <c r="W240" s="4"/>
    </row>
    <row r="241" spans="1:206" x14ac:dyDescent="0.2">
      <c r="A241" s="4">
        <v>50</v>
      </c>
      <c r="B241" s="4">
        <v>1</v>
      </c>
      <c r="C241" s="4">
        <v>0</v>
      </c>
      <c r="D241" s="4">
        <v>2</v>
      </c>
      <c r="E241" s="4">
        <v>0</v>
      </c>
      <c r="F241" s="4">
        <f>ROUND(F171,O241)</f>
        <v>15305.23</v>
      </c>
      <c r="G241" s="4" t="s">
        <v>213</v>
      </c>
      <c r="H241" s="4" t="s">
        <v>154</v>
      </c>
      <c r="I241" s="4"/>
      <c r="J241" s="4"/>
      <c r="K241" s="4">
        <v>212</v>
      </c>
      <c r="L241" s="4">
        <v>31</v>
      </c>
      <c r="M241" s="4">
        <v>0</v>
      </c>
      <c r="N241" s="4" t="s">
        <v>6</v>
      </c>
      <c r="O241" s="4">
        <v>2</v>
      </c>
      <c r="P241" s="4"/>
      <c r="Q241" s="4"/>
      <c r="R241" s="4"/>
      <c r="S241" s="4"/>
      <c r="T241" s="4"/>
      <c r="U241" s="4"/>
      <c r="V241" s="4"/>
      <c r="W241" s="4"/>
    </row>
    <row r="242" spans="1:206" x14ac:dyDescent="0.2">
      <c r="A242" s="4">
        <v>50</v>
      </c>
      <c r="B242" s="4">
        <v>1</v>
      </c>
      <c r="C242" s="4">
        <v>0</v>
      </c>
      <c r="D242" s="4">
        <v>2</v>
      </c>
      <c r="E242" s="4">
        <v>0</v>
      </c>
      <c r="F242" s="4">
        <f>ROUND(F238+F239+F240+F241,O242)</f>
        <v>12216663.859999999</v>
      </c>
      <c r="G242" s="4" t="s">
        <v>214</v>
      </c>
      <c r="H242" s="4" t="s">
        <v>203</v>
      </c>
      <c r="I242" s="4"/>
      <c r="J242" s="4"/>
      <c r="K242" s="4">
        <v>212</v>
      </c>
      <c r="L242" s="4">
        <v>32</v>
      </c>
      <c r="M242" s="4">
        <v>0</v>
      </c>
      <c r="N242" s="4" t="s">
        <v>6</v>
      </c>
      <c r="O242" s="4">
        <v>2</v>
      </c>
      <c r="P242" s="4"/>
      <c r="Q242" s="4"/>
      <c r="R242" s="4"/>
      <c r="S242" s="4"/>
      <c r="T242" s="4"/>
      <c r="U242" s="4"/>
      <c r="V242" s="4"/>
      <c r="W242" s="4"/>
    </row>
    <row r="243" spans="1:206" x14ac:dyDescent="0.2">
      <c r="A243" s="4">
        <v>50</v>
      </c>
      <c r="B243" s="4">
        <v>1</v>
      </c>
      <c r="C243" s="4">
        <v>0</v>
      </c>
      <c r="D243" s="4">
        <v>2</v>
      </c>
      <c r="E243" s="4">
        <v>0</v>
      </c>
      <c r="F243" s="4">
        <f>ROUND(F242*0.18,O243)</f>
        <v>2198999.4900000002</v>
      </c>
      <c r="G243" s="4" t="s">
        <v>215</v>
      </c>
      <c r="H243" s="4" t="s">
        <v>204</v>
      </c>
      <c r="I243" s="4"/>
      <c r="J243" s="4"/>
      <c r="K243" s="4">
        <v>212</v>
      </c>
      <c r="L243" s="4">
        <v>33</v>
      </c>
      <c r="M243" s="4">
        <v>0</v>
      </c>
      <c r="N243" s="4" t="s">
        <v>6</v>
      </c>
      <c r="O243" s="4">
        <v>2</v>
      </c>
      <c r="P243" s="4"/>
      <c r="Q243" s="4"/>
      <c r="R243" s="4"/>
      <c r="S243" s="4"/>
      <c r="T243" s="4"/>
      <c r="U243" s="4"/>
      <c r="V243" s="4"/>
      <c r="W243" s="4"/>
    </row>
    <row r="244" spans="1:206" x14ac:dyDescent="0.2">
      <c r="A244" s="4">
        <v>50</v>
      </c>
      <c r="B244" s="4">
        <v>1</v>
      </c>
      <c r="C244" s="4">
        <v>0</v>
      </c>
      <c r="D244" s="4">
        <v>2</v>
      </c>
      <c r="E244" s="4">
        <v>0</v>
      </c>
      <c r="F244" s="4">
        <f>ROUND(F243+F242,O244)</f>
        <v>14415663.35</v>
      </c>
      <c r="G244" s="4" t="s">
        <v>206</v>
      </c>
      <c r="H244" s="4" t="s">
        <v>216</v>
      </c>
      <c r="I244" s="4"/>
      <c r="J244" s="4"/>
      <c r="K244" s="4">
        <v>212</v>
      </c>
      <c r="L244" s="4">
        <v>34</v>
      </c>
      <c r="M244" s="4">
        <v>0</v>
      </c>
      <c r="N244" s="4" t="s">
        <v>6</v>
      </c>
      <c r="O244" s="4">
        <v>2</v>
      </c>
      <c r="P244" s="4"/>
      <c r="Q244" s="4"/>
      <c r="R244" s="4"/>
      <c r="S244" s="4"/>
      <c r="T244" s="4"/>
      <c r="U244" s="4"/>
      <c r="V244" s="4"/>
      <c r="W244" s="4"/>
    </row>
    <row r="246" spans="1:206" x14ac:dyDescent="0.2">
      <c r="A246" s="2">
        <v>51</v>
      </c>
      <c r="B246" s="2">
        <f>B12</f>
        <v>281</v>
      </c>
      <c r="C246" s="2">
        <f>A12</f>
        <v>1</v>
      </c>
      <c r="D246" s="2">
        <f>ROW(A12)</f>
        <v>12</v>
      </c>
      <c r="E246" s="2"/>
      <c r="F246" s="2" t="str">
        <f>IF(F12&lt;&gt;"",F12,"")</f>
        <v>3 проект Строительство РП-1, 2КЛ-10кВ от ПС "Павелецкая" до_(Копия)</v>
      </c>
      <c r="G246" s="2" t="str">
        <f>IF(G12&lt;&gt;"",G12,"")</f>
        <v xml:space="preserve"> Технологическое присоединение к электрической сети энергопринимающих устройств 20кВ ООО "Энергии Технологии" к КРУ 20 кВ ТЭС "Международная" ООО "Ситиэнерго" для электроснабжения энергопринимающих  устройств, по адресу: г.Москва, ул. Беговая, д.32</v>
      </c>
      <c r="H246" s="2">
        <v>0</v>
      </c>
      <c r="I246" s="2"/>
      <c r="J246" s="2"/>
      <c r="K246" s="2"/>
      <c r="L246" s="2"/>
      <c r="M246" s="2"/>
      <c r="N246" s="2"/>
      <c r="O246" s="2">
        <f t="shared" ref="O246:T246" si="200">ROUND(O209,2)</f>
        <v>10423686.65</v>
      </c>
      <c r="P246" s="2">
        <f t="shared" si="200"/>
        <v>6200815.9500000002</v>
      </c>
      <c r="Q246" s="2">
        <f t="shared" si="200"/>
        <v>3993667.43</v>
      </c>
      <c r="R246" s="2">
        <f t="shared" si="200"/>
        <v>754298.48</v>
      </c>
      <c r="S246" s="2">
        <f t="shared" si="200"/>
        <v>229203.27</v>
      </c>
      <c r="T246" s="2">
        <f t="shared" si="200"/>
        <v>0</v>
      </c>
      <c r="U246" s="2">
        <f>U209</f>
        <v>804.26659631999985</v>
      </c>
      <c r="V246" s="2">
        <f>V209</f>
        <v>0</v>
      </c>
      <c r="W246" s="2">
        <f>ROUND(W209,2)</f>
        <v>0</v>
      </c>
      <c r="X246" s="2">
        <f>ROUND(X209,2)</f>
        <v>264365.76</v>
      </c>
      <c r="Y246" s="2">
        <f>ROUND(Y209,2)</f>
        <v>164047.19</v>
      </c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>
        <f t="shared" ref="AO246:BD246" si="201">ROUND(AO209,2)</f>
        <v>0</v>
      </c>
      <c r="AP246" s="2">
        <f t="shared" si="201"/>
        <v>0</v>
      </c>
      <c r="AQ246" s="2">
        <f t="shared" si="201"/>
        <v>0</v>
      </c>
      <c r="AR246" s="2">
        <f t="shared" si="201"/>
        <v>12036348.220000001</v>
      </c>
      <c r="AS246" s="2">
        <f t="shared" si="201"/>
        <v>12018008.529999999</v>
      </c>
      <c r="AT246" s="2">
        <f t="shared" si="201"/>
        <v>3034.46</v>
      </c>
      <c r="AU246" s="2">
        <f t="shared" si="201"/>
        <v>15305.23</v>
      </c>
      <c r="AV246" s="2">
        <f t="shared" si="201"/>
        <v>6200815.9500000002</v>
      </c>
      <c r="AW246" s="2">
        <f t="shared" si="201"/>
        <v>6200815.9500000002</v>
      </c>
      <c r="AX246" s="2">
        <f t="shared" si="201"/>
        <v>0</v>
      </c>
      <c r="AY246" s="2">
        <f t="shared" si="201"/>
        <v>6200815.9500000002</v>
      </c>
      <c r="AZ246" s="2">
        <f t="shared" si="201"/>
        <v>0</v>
      </c>
      <c r="BA246" s="2">
        <f t="shared" si="201"/>
        <v>0</v>
      </c>
      <c r="BB246" s="2">
        <f t="shared" si="201"/>
        <v>0</v>
      </c>
      <c r="BC246" s="2">
        <f t="shared" si="201"/>
        <v>0</v>
      </c>
      <c r="BD246" s="2">
        <f t="shared" si="201"/>
        <v>0</v>
      </c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  <c r="CZ246" s="2"/>
      <c r="DA246" s="2"/>
      <c r="DB246" s="2"/>
      <c r="DC246" s="2"/>
      <c r="DD246" s="2"/>
      <c r="DE246" s="2"/>
      <c r="DF246" s="2"/>
      <c r="DG246" s="3"/>
      <c r="DH246" s="3"/>
      <c r="DI246" s="3"/>
      <c r="DJ246" s="3"/>
      <c r="DK246" s="3"/>
      <c r="DL246" s="3"/>
      <c r="DM246" s="3"/>
      <c r="DN246" s="3"/>
      <c r="DO246" s="3"/>
      <c r="DP246" s="3"/>
      <c r="DQ246" s="3"/>
      <c r="DR246" s="3"/>
      <c r="DS246" s="3"/>
      <c r="DT246" s="3"/>
      <c r="DU246" s="3"/>
      <c r="DV246" s="3"/>
      <c r="DW246" s="3"/>
      <c r="DX246" s="3"/>
      <c r="DY246" s="3"/>
      <c r="DZ246" s="3"/>
      <c r="EA246" s="3"/>
      <c r="EB246" s="3"/>
      <c r="EC246" s="3"/>
      <c r="ED246" s="3"/>
      <c r="EE246" s="3"/>
      <c r="EF246" s="3"/>
      <c r="EG246" s="3"/>
      <c r="EH246" s="3"/>
      <c r="EI246" s="3"/>
      <c r="EJ246" s="3"/>
      <c r="EK246" s="3"/>
      <c r="EL246" s="3"/>
      <c r="EM246" s="3"/>
      <c r="EN246" s="3"/>
      <c r="EO246" s="3"/>
      <c r="EP246" s="3"/>
      <c r="EQ246" s="3"/>
      <c r="ER246" s="3"/>
      <c r="ES246" s="3"/>
      <c r="ET246" s="3"/>
      <c r="EU246" s="3"/>
      <c r="EV246" s="3"/>
      <c r="EW246" s="3"/>
      <c r="EX246" s="3"/>
      <c r="EY246" s="3"/>
      <c r="EZ246" s="3"/>
      <c r="FA246" s="3"/>
      <c r="FB246" s="3"/>
      <c r="FC246" s="3"/>
      <c r="FD246" s="3"/>
      <c r="FE246" s="3"/>
      <c r="FF246" s="3"/>
      <c r="FG246" s="3"/>
      <c r="FH246" s="3"/>
      <c r="FI246" s="3"/>
      <c r="FJ246" s="3"/>
      <c r="FK246" s="3"/>
      <c r="FL246" s="3"/>
      <c r="FM246" s="3"/>
      <c r="FN246" s="3"/>
      <c r="FO246" s="3"/>
      <c r="FP246" s="3"/>
      <c r="FQ246" s="3"/>
      <c r="FR246" s="3"/>
      <c r="FS246" s="3"/>
      <c r="FT246" s="3"/>
      <c r="FU246" s="3"/>
      <c r="FV246" s="3"/>
      <c r="FW246" s="3"/>
      <c r="FX246" s="3"/>
      <c r="FY246" s="3"/>
      <c r="FZ246" s="3"/>
      <c r="GA246" s="3"/>
      <c r="GB246" s="3"/>
      <c r="GC246" s="3"/>
      <c r="GD246" s="3"/>
      <c r="GE246" s="3"/>
      <c r="GF246" s="3"/>
      <c r="GG246" s="3"/>
      <c r="GH246" s="3"/>
      <c r="GI246" s="3"/>
      <c r="GJ246" s="3"/>
      <c r="GK246" s="3"/>
      <c r="GL246" s="3"/>
      <c r="GM246" s="3"/>
      <c r="GN246" s="3"/>
      <c r="GO246" s="3"/>
      <c r="GP246" s="3"/>
      <c r="GQ246" s="3"/>
      <c r="GR246" s="3"/>
      <c r="GS246" s="3"/>
      <c r="GT246" s="3"/>
      <c r="GU246" s="3"/>
      <c r="GV246" s="3"/>
      <c r="GW246" s="3"/>
      <c r="GX246" s="3">
        <v>0</v>
      </c>
    </row>
    <row r="248" spans="1:206" x14ac:dyDescent="0.2">
      <c r="A248" s="4">
        <v>50</v>
      </c>
      <c r="B248" s="4">
        <v>0</v>
      </c>
      <c r="C248" s="4">
        <v>0</v>
      </c>
      <c r="D248" s="4">
        <v>1</v>
      </c>
      <c r="E248" s="4">
        <v>201</v>
      </c>
      <c r="F248" s="4">
        <f>ROUND(Source!O246,O248)</f>
        <v>10423686.65</v>
      </c>
      <c r="G248" s="4" t="s">
        <v>120</v>
      </c>
      <c r="H248" s="4" t="s">
        <v>121</v>
      </c>
      <c r="I248" s="4"/>
      <c r="J248" s="4"/>
      <c r="K248" s="4">
        <v>201</v>
      </c>
      <c r="L248" s="4">
        <v>1</v>
      </c>
      <c r="M248" s="4">
        <v>3</v>
      </c>
      <c r="N248" s="4" t="s">
        <v>6</v>
      </c>
      <c r="O248" s="4">
        <v>2</v>
      </c>
      <c r="P248" s="4"/>
      <c r="Q248" s="4"/>
      <c r="R248" s="4"/>
      <c r="S248" s="4"/>
      <c r="T248" s="4"/>
      <c r="U248" s="4"/>
      <c r="V248" s="4"/>
      <c r="W248" s="4"/>
    </row>
    <row r="249" spans="1:206" x14ac:dyDescent="0.2">
      <c r="A249" s="4">
        <v>50</v>
      </c>
      <c r="B249" s="4">
        <v>0</v>
      </c>
      <c r="C249" s="4">
        <v>0</v>
      </c>
      <c r="D249" s="4">
        <v>1</v>
      </c>
      <c r="E249" s="4">
        <v>202</v>
      </c>
      <c r="F249" s="4">
        <f>ROUND(Source!P246,O249)</f>
        <v>6200815.9500000002</v>
      </c>
      <c r="G249" s="4" t="s">
        <v>122</v>
      </c>
      <c r="H249" s="4" t="s">
        <v>123</v>
      </c>
      <c r="I249" s="4"/>
      <c r="J249" s="4"/>
      <c r="K249" s="4">
        <v>202</v>
      </c>
      <c r="L249" s="4">
        <v>2</v>
      </c>
      <c r="M249" s="4">
        <v>3</v>
      </c>
      <c r="N249" s="4" t="s">
        <v>6</v>
      </c>
      <c r="O249" s="4">
        <v>2</v>
      </c>
      <c r="P249" s="4"/>
      <c r="Q249" s="4"/>
      <c r="R249" s="4"/>
      <c r="S249" s="4"/>
      <c r="T249" s="4"/>
      <c r="U249" s="4"/>
      <c r="V249" s="4"/>
      <c r="W249" s="4"/>
    </row>
    <row r="250" spans="1:206" x14ac:dyDescent="0.2">
      <c r="A250" s="4">
        <v>50</v>
      </c>
      <c r="B250" s="4">
        <v>0</v>
      </c>
      <c r="C250" s="4">
        <v>0</v>
      </c>
      <c r="D250" s="4">
        <v>1</v>
      </c>
      <c r="E250" s="4">
        <v>227</v>
      </c>
      <c r="F250" s="4">
        <f>ROUND(Source!AO246,O250)</f>
        <v>0</v>
      </c>
      <c r="G250" s="4" t="s">
        <v>124</v>
      </c>
      <c r="H250" s="4" t="s">
        <v>125</v>
      </c>
      <c r="I250" s="4"/>
      <c r="J250" s="4"/>
      <c r="K250" s="4">
        <v>222</v>
      </c>
      <c r="L250" s="4">
        <v>3</v>
      </c>
      <c r="M250" s="4">
        <v>3</v>
      </c>
      <c r="N250" s="4" t="s">
        <v>6</v>
      </c>
      <c r="O250" s="4">
        <v>2</v>
      </c>
      <c r="P250" s="4"/>
      <c r="Q250" s="4"/>
      <c r="R250" s="4"/>
      <c r="S250" s="4"/>
      <c r="T250" s="4"/>
      <c r="U250" s="4"/>
      <c r="V250" s="4"/>
      <c r="W250" s="4"/>
    </row>
    <row r="251" spans="1:206" x14ac:dyDescent="0.2">
      <c r="A251" s="4">
        <v>50</v>
      </c>
      <c r="B251" s="4">
        <v>0</v>
      </c>
      <c r="C251" s="4">
        <v>0</v>
      </c>
      <c r="D251" s="4">
        <v>1</v>
      </c>
      <c r="E251" s="4">
        <v>225</v>
      </c>
      <c r="F251" s="4">
        <f>ROUND(Source!AV246,O251)</f>
        <v>6200815.9500000002</v>
      </c>
      <c r="G251" s="4" t="s">
        <v>126</v>
      </c>
      <c r="H251" s="4" t="s">
        <v>127</v>
      </c>
      <c r="I251" s="4"/>
      <c r="J251" s="4"/>
      <c r="K251" s="4">
        <v>225</v>
      </c>
      <c r="L251" s="4">
        <v>4</v>
      </c>
      <c r="M251" s="4">
        <v>3</v>
      </c>
      <c r="N251" s="4" t="s">
        <v>6</v>
      </c>
      <c r="O251" s="4">
        <v>2</v>
      </c>
      <c r="P251" s="4"/>
      <c r="Q251" s="4"/>
      <c r="R251" s="4"/>
      <c r="S251" s="4"/>
      <c r="T251" s="4"/>
      <c r="U251" s="4"/>
      <c r="V251" s="4"/>
      <c r="W251" s="4"/>
    </row>
    <row r="252" spans="1:206" x14ac:dyDescent="0.2">
      <c r="A252" s="4">
        <v>50</v>
      </c>
      <c r="B252" s="4">
        <v>0</v>
      </c>
      <c r="C252" s="4">
        <v>0</v>
      </c>
      <c r="D252" s="4">
        <v>1</v>
      </c>
      <c r="E252" s="4">
        <v>226</v>
      </c>
      <c r="F252" s="4">
        <f>ROUND(Source!AW246,O252)</f>
        <v>6200815.9500000002</v>
      </c>
      <c r="G252" s="4" t="s">
        <v>128</v>
      </c>
      <c r="H252" s="4" t="s">
        <v>129</v>
      </c>
      <c r="I252" s="4"/>
      <c r="J252" s="4"/>
      <c r="K252" s="4">
        <v>226</v>
      </c>
      <c r="L252" s="4">
        <v>5</v>
      </c>
      <c r="M252" s="4">
        <v>3</v>
      </c>
      <c r="N252" s="4" t="s">
        <v>6</v>
      </c>
      <c r="O252" s="4">
        <v>2</v>
      </c>
      <c r="P252" s="4"/>
      <c r="Q252" s="4"/>
      <c r="R252" s="4"/>
      <c r="S252" s="4"/>
      <c r="T252" s="4"/>
      <c r="U252" s="4"/>
      <c r="V252" s="4"/>
      <c r="W252" s="4"/>
    </row>
    <row r="253" spans="1:206" x14ac:dyDescent="0.2">
      <c r="A253" s="4">
        <v>50</v>
      </c>
      <c r="B253" s="4">
        <v>0</v>
      </c>
      <c r="C253" s="4">
        <v>0</v>
      </c>
      <c r="D253" s="4">
        <v>1</v>
      </c>
      <c r="E253" s="4">
        <v>0</v>
      </c>
      <c r="F253" s="4">
        <f>ROUND(Source!AX246,O253)</f>
        <v>0</v>
      </c>
      <c r="G253" s="4" t="s">
        <v>130</v>
      </c>
      <c r="H253" s="4" t="s">
        <v>131</v>
      </c>
      <c r="I253" s="4"/>
      <c r="J253" s="4"/>
      <c r="K253" s="4">
        <v>227</v>
      </c>
      <c r="L253" s="4">
        <v>6</v>
      </c>
      <c r="M253" s="4">
        <v>3</v>
      </c>
      <c r="N253" s="4" t="s">
        <v>6</v>
      </c>
      <c r="O253" s="4">
        <v>2</v>
      </c>
      <c r="P253" s="4"/>
      <c r="Q253" s="4"/>
      <c r="R253" s="4"/>
      <c r="S253" s="4"/>
      <c r="T253" s="4"/>
      <c r="U253" s="4"/>
      <c r="V253" s="4"/>
      <c r="W253" s="4"/>
    </row>
    <row r="254" spans="1:206" x14ac:dyDescent="0.2">
      <c r="A254" s="4">
        <v>50</v>
      </c>
      <c r="B254" s="4">
        <v>0</v>
      </c>
      <c r="C254" s="4">
        <v>0</v>
      </c>
      <c r="D254" s="4">
        <v>1</v>
      </c>
      <c r="E254" s="4">
        <v>228</v>
      </c>
      <c r="F254" s="4">
        <f>ROUND(Source!AY246,O254)</f>
        <v>6200815.9500000002</v>
      </c>
      <c r="G254" s="4" t="s">
        <v>132</v>
      </c>
      <c r="H254" s="4" t="s">
        <v>133</v>
      </c>
      <c r="I254" s="4"/>
      <c r="J254" s="4"/>
      <c r="K254" s="4">
        <v>228</v>
      </c>
      <c r="L254" s="4">
        <v>7</v>
      </c>
      <c r="M254" s="4">
        <v>3</v>
      </c>
      <c r="N254" s="4" t="s">
        <v>6</v>
      </c>
      <c r="O254" s="4">
        <v>2</v>
      </c>
      <c r="P254" s="4"/>
      <c r="Q254" s="4"/>
      <c r="R254" s="4"/>
      <c r="S254" s="4"/>
      <c r="T254" s="4"/>
      <c r="U254" s="4"/>
      <c r="V254" s="4"/>
      <c r="W254" s="4"/>
    </row>
    <row r="255" spans="1:206" x14ac:dyDescent="0.2">
      <c r="A255" s="4">
        <v>50</v>
      </c>
      <c r="B255" s="4">
        <v>0</v>
      </c>
      <c r="C255" s="4">
        <v>0</v>
      </c>
      <c r="D255" s="4">
        <v>1</v>
      </c>
      <c r="E255" s="4">
        <v>216</v>
      </c>
      <c r="F255" s="4">
        <f>ROUND(Source!AP246,O255)</f>
        <v>0</v>
      </c>
      <c r="G255" s="4" t="s">
        <v>134</v>
      </c>
      <c r="H255" s="4" t="s">
        <v>135</v>
      </c>
      <c r="I255" s="4"/>
      <c r="J255" s="4"/>
      <c r="K255" s="4">
        <v>216</v>
      </c>
      <c r="L255" s="4">
        <v>8</v>
      </c>
      <c r="M255" s="4">
        <v>3</v>
      </c>
      <c r="N255" s="4" t="s">
        <v>6</v>
      </c>
      <c r="O255" s="4">
        <v>2</v>
      </c>
      <c r="P255" s="4"/>
      <c r="Q255" s="4"/>
      <c r="R255" s="4"/>
      <c r="S255" s="4"/>
      <c r="T255" s="4"/>
      <c r="U255" s="4"/>
      <c r="V255" s="4"/>
      <c r="W255" s="4"/>
    </row>
    <row r="256" spans="1:206" x14ac:dyDescent="0.2">
      <c r="A256" s="4">
        <v>50</v>
      </c>
      <c r="B256" s="4">
        <v>0</v>
      </c>
      <c r="C256" s="4">
        <v>0</v>
      </c>
      <c r="D256" s="4">
        <v>1</v>
      </c>
      <c r="E256" s="4">
        <v>223</v>
      </c>
      <c r="F256" s="4">
        <f>ROUND(Source!AQ246,O256)</f>
        <v>0</v>
      </c>
      <c r="G256" s="4" t="s">
        <v>136</v>
      </c>
      <c r="H256" s="4" t="s">
        <v>137</v>
      </c>
      <c r="I256" s="4"/>
      <c r="J256" s="4"/>
      <c r="K256" s="4">
        <v>223</v>
      </c>
      <c r="L256" s="4">
        <v>9</v>
      </c>
      <c r="M256" s="4">
        <v>3</v>
      </c>
      <c r="N256" s="4" t="s">
        <v>6</v>
      </c>
      <c r="O256" s="4">
        <v>2</v>
      </c>
      <c r="P256" s="4"/>
      <c r="Q256" s="4"/>
      <c r="R256" s="4"/>
      <c r="S256" s="4"/>
      <c r="T256" s="4"/>
      <c r="U256" s="4"/>
      <c r="V256" s="4"/>
      <c r="W256" s="4"/>
    </row>
    <row r="257" spans="1:23" x14ac:dyDescent="0.2">
      <c r="A257" s="4">
        <v>50</v>
      </c>
      <c r="B257" s="4">
        <v>0</v>
      </c>
      <c r="C257" s="4">
        <v>0</v>
      </c>
      <c r="D257" s="4">
        <v>1</v>
      </c>
      <c r="E257" s="4">
        <v>229</v>
      </c>
      <c r="F257" s="4">
        <f>ROUND(Source!AZ246,O257)</f>
        <v>0</v>
      </c>
      <c r="G257" s="4" t="s">
        <v>138</v>
      </c>
      <c r="H257" s="4" t="s">
        <v>139</v>
      </c>
      <c r="I257" s="4"/>
      <c r="J257" s="4"/>
      <c r="K257" s="4">
        <v>229</v>
      </c>
      <c r="L257" s="4">
        <v>10</v>
      </c>
      <c r="M257" s="4">
        <v>3</v>
      </c>
      <c r="N257" s="4" t="s">
        <v>6</v>
      </c>
      <c r="O257" s="4">
        <v>2</v>
      </c>
      <c r="P257" s="4"/>
      <c r="Q257" s="4"/>
      <c r="R257" s="4"/>
      <c r="S257" s="4"/>
      <c r="T257" s="4"/>
      <c r="U257" s="4"/>
      <c r="V257" s="4"/>
      <c r="W257" s="4"/>
    </row>
    <row r="258" spans="1:23" x14ac:dyDescent="0.2">
      <c r="A258" s="4">
        <v>50</v>
      </c>
      <c r="B258" s="4">
        <v>0</v>
      </c>
      <c r="C258" s="4">
        <v>0</v>
      </c>
      <c r="D258" s="4">
        <v>1</v>
      </c>
      <c r="E258" s="4">
        <v>203</v>
      </c>
      <c r="F258" s="4">
        <f>ROUND(Source!Q246,O258)</f>
        <v>3993667.43</v>
      </c>
      <c r="G258" s="4" t="s">
        <v>140</v>
      </c>
      <c r="H258" s="4" t="s">
        <v>141</v>
      </c>
      <c r="I258" s="4"/>
      <c r="J258" s="4"/>
      <c r="K258" s="4">
        <v>203</v>
      </c>
      <c r="L258" s="4">
        <v>11</v>
      </c>
      <c r="M258" s="4">
        <v>3</v>
      </c>
      <c r="N258" s="4" t="s">
        <v>6</v>
      </c>
      <c r="O258" s="4">
        <v>2</v>
      </c>
      <c r="P258" s="4"/>
      <c r="Q258" s="4"/>
      <c r="R258" s="4"/>
      <c r="S258" s="4"/>
      <c r="T258" s="4"/>
      <c r="U258" s="4"/>
      <c r="V258" s="4"/>
      <c r="W258" s="4"/>
    </row>
    <row r="259" spans="1:23" x14ac:dyDescent="0.2">
      <c r="A259" s="4">
        <v>50</v>
      </c>
      <c r="B259" s="4">
        <v>0</v>
      </c>
      <c r="C259" s="4">
        <v>0</v>
      </c>
      <c r="D259" s="4">
        <v>1</v>
      </c>
      <c r="E259" s="4">
        <v>231</v>
      </c>
      <c r="F259" s="4">
        <f>ROUND(Source!BB246,O259)</f>
        <v>0</v>
      </c>
      <c r="G259" s="4" t="s">
        <v>142</v>
      </c>
      <c r="H259" s="4" t="s">
        <v>143</v>
      </c>
      <c r="I259" s="4"/>
      <c r="J259" s="4"/>
      <c r="K259" s="4">
        <v>231</v>
      </c>
      <c r="L259" s="4">
        <v>12</v>
      </c>
      <c r="M259" s="4">
        <v>3</v>
      </c>
      <c r="N259" s="4" t="s">
        <v>6</v>
      </c>
      <c r="O259" s="4">
        <v>2</v>
      </c>
      <c r="P259" s="4"/>
      <c r="Q259" s="4"/>
      <c r="R259" s="4"/>
      <c r="S259" s="4"/>
      <c r="T259" s="4"/>
      <c r="U259" s="4"/>
      <c r="V259" s="4"/>
      <c r="W259" s="4"/>
    </row>
    <row r="260" spans="1:23" x14ac:dyDescent="0.2">
      <c r="A260" s="4">
        <v>50</v>
      </c>
      <c r="B260" s="4">
        <v>0</v>
      </c>
      <c r="C260" s="4">
        <v>0</v>
      </c>
      <c r="D260" s="4">
        <v>1</v>
      </c>
      <c r="E260" s="4">
        <v>204</v>
      </c>
      <c r="F260" s="4">
        <f>ROUND(Source!R246,O260)</f>
        <v>754298.48</v>
      </c>
      <c r="G260" s="4" t="s">
        <v>144</v>
      </c>
      <c r="H260" s="4" t="s">
        <v>145</v>
      </c>
      <c r="I260" s="4"/>
      <c r="J260" s="4"/>
      <c r="K260" s="4">
        <v>204</v>
      </c>
      <c r="L260" s="4">
        <v>13</v>
      </c>
      <c r="M260" s="4">
        <v>3</v>
      </c>
      <c r="N260" s="4" t="s">
        <v>6</v>
      </c>
      <c r="O260" s="4">
        <v>2</v>
      </c>
      <c r="P260" s="4"/>
      <c r="Q260" s="4"/>
      <c r="R260" s="4"/>
      <c r="S260" s="4"/>
      <c r="T260" s="4"/>
      <c r="U260" s="4"/>
      <c r="V260" s="4"/>
      <c r="W260" s="4"/>
    </row>
    <row r="261" spans="1:23" x14ac:dyDescent="0.2">
      <c r="A261" s="4">
        <v>50</v>
      </c>
      <c r="B261" s="4">
        <v>0</v>
      </c>
      <c r="C261" s="4">
        <v>0</v>
      </c>
      <c r="D261" s="4">
        <v>1</v>
      </c>
      <c r="E261" s="4">
        <v>205</v>
      </c>
      <c r="F261" s="4">
        <f>ROUND(Source!S246,O261)</f>
        <v>229203.27</v>
      </c>
      <c r="G261" s="4" t="s">
        <v>146</v>
      </c>
      <c r="H261" s="4" t="s">
        <v>147</v>
      </c>
      <c r="I261" s="4"/>
      <c r="J261" s="4"/>
      <c r="K261" s="4">
        <v>205</v>
      </c>
      <c r="L261" s="4">
        <v>14</v>
      </c>
      <c r="M261" s="4">
        <v>3</v>
      </c>
      <c r="N261" s="4" t="s">
        <v>6</v>
      </c>
      <c r="O261" s="4">
        <v>2</v>
      </c>
      <c r="P261" s="4"/>
      <c r="Q261" s="4"/>
      <c r="R261" s="4"/>
      <c r="S261" s="4"/>
      <c r="T261" s="4"/>
      <c r="U261" s="4"/>
      <c r="V261" s="4"/>
      <c r="W261" s="4"/>
    </row>
    <row r="262" spans="1:23" x14ac:dyDescent="0.2">
      <c r="A262" s="4">
        <v>50</v>
      </c>
      <c r="B262" s="4">
        <v>0</v>
      </c>
      <c r="C262" s="4">
        <v>0</v>
      </c>
      <c r="D262" s="4">
        <v>1</v>
      </c>
      <c r="E262" s="4">
        <v>232</v>
      </c>
      <c r="F262" s="4">
        <f>ROUND(Source!BC246,O262)</f>
        <v>0</v>
      </c>
      <c r="G262" s="4" t="s">
        <v>148</v>
      </c>
      <c r="H262" s="4" t="s">
        <v>149</v>
      </c>
      <c r="I262" s="4"/>
      <c r="J262" s="4"/>
      <c r="K262" s="4">
        <v>232</v>
      </c>
      <c r="L262" s="4">
        <v>15</v>
      </c>
      <c r="M262" s="4">
        <v>3</v>
      </c>
      <c r="N262" s="4" t="s">
        <v>6</v>
      </c>
      <c r="O262" s="4">
        <v>2</v>
      </c>
      <c r="P262" s="4"/>
      <c r="Q262" s="4"/>
      <c r="R262" s="4"/>
      <c r="S262" s="4"/>
      <c r="T262" s="4"/>
      <c r="U262" s="4"/>
      <c r="V262" s="4"/>
      <c r="W262" s="4"/>
    </row>
    <row r="263" spans="1:23" x14ac:dyDescent="0.2">
      <c r="A263" s="4">
        <v>50</v>
      </c>
      <c r="B263" s="4">
        <v>0</v>
      </c>
      <c r="C263" s="4">
        <v>0</v>
      </c>
      <c r="D263" s="4">
        <v>1</v>
      </c>
      <c r="E263" s="4">
        <v>214</v>
      </c>
      <c r="F263" s="4">
        <f>ROUND(Source!AS246,O263)</f>
        <v>12018008.529999999</v>
      </c>
      <c r="G263" s="4" t="s">
        <v>150</v>
      </c>
      <c r="H263" s="4" t="s">
        <v>151</v>
      </c>
      <c r="I263" s="4"/>
      <c r="J263" s="4"/>
      <c r="K263" s="4">
        <v>214</v>
      </c>
      <c r="L263" s="4">
        <v>16</v>
      </c>
      <c r="M263" s="4">
        <v>3</v>
      </c>
      <c r="N263" s="4" t="s">
        <v>6</v>
      </c>
      <c r="O263" s="4">
        <v>2</v>
      </c>
      <c r="P263" s="4"/>
      <c r="Q263" s="4"/>
      <c r="R263" s="4"/>
      <c r="S263" s="4"/>
      <c r="T263" s="4"/>
      <c r="U263" s="4"/>
      <c r="V263" s="4"/>
      <c r="W263" s="4"/>
    </row>
    <row r="264" spans="1:23" x14ac:dyDescent="0.2">
      <c r="A264" s="4">
        <v>50</v>
      </c>
      <c r="B264" s="4">
        <v>0</v>
      </c>
      <c r="C264" s="4">
        <v>0</v>
      </c>
      <c r="D264" s="4">
        <v>1</v>
      </c>
      <c r="E264" s="4">
        <v>215</v>
      </c>
      <c r="F264" s="4">
        <f>ROUND(Source!AT246,O264)</f>
        <v>3034.46</v>
      </c>
      <c r="G264" s="4" t="s">
        <v>152</v>
      </c>
      <c r="H264" s="4" t="s">
        <v>153</v>
      </c>
      <c r="I264" s="4"/>
      <c r="J264" s="4"/>
      <c r="K264" s="4">
        <v>215</v>
      </c>
      <c r="L264" s="4">
        <v>17</v>
      </c>
      <c r="M264" s="4">
        <v>3</v>
      </c>
      <c r="N264" s="4" t="s">
        <v>6</v>
      </c>
      <c r="O264" s="4">
        <v>2</v>
      </c>
      <c r="P264" s="4"/>
      <c r="Q264" s="4"/>
      <c r="R264" s="4"/>
      <c r="S264" s="4"/>
      <c r="T264" s="4"/>
      <c r="U264" s="4"/>
      <c r="V264" s="4"/>
      <c r="W264" s="4"/>
    </row>
    <row r="265" spans="1:23" x14ac:dyDescent="0.2">
      <c r="A265" s="4">
        <v>50</v>
      </c>
      <c r="B265" s="4">
        <v>0</v>
      </c>
      <c r="C265" s="4">
        <v>0</v>
      </c>
      <c r="D265" s="4">
        <v>1</v>
      </c>
      <c r="E265" s="4">
        <v>217</v>
      </c>
      <c r="F265" s="4">
        <f>ROUND(Source!AU246,O265)</f>
        <v>15305.23</v>
      </c>
      <c r="G265" s="4" t="s">
        <v>154</v>
      </c>
      <c r="H265" s="4" t="s">
        <v>155</v>
      </c>
      <c r="I265" s="4"/>
      <c r="J265" s="4"/>
      <c r="K265" s="4">
        <v>217</v>
      </c>
      <c r="L265" s="4">
        <v>18</v>
      </c>
      <c r="M265" s="4">
        <v>3</v>
      </c>
      <c r="N265" s="4" t="s">
        <v>6</v>
      </c>
      <c r="O265" s="4">
        <v>2</v>
      </c>
      <c r="P265" s="4"/>
      <c r="Q265" s="4"/>
      <c r="R265" s="4"/>
      <c r="S265" s="4"/>
      <c r="T265" s="4"/>
      <c r="U265" s="4"/>
      <c r="V265" s="4"/>
      <c r="W265" s="4"/>
    </row>
    <row r="266" spans="1:23" x14ac:dyDescent="0.2">
      <c r="A266" s="4">
        <v>50</v>
      </c>
      <c r="B266" s="4">
        <v>0</v>
      </c>
      <c r="C266" s="4">
        <v>0</v>
      </c>
      <c r="D266" s="4">
        <v>1</v>
      </c>
      <c r="E266" s="4">
        <v>230</v>
      </c>
      <c r="F266" s="4">
        <f>ROUND(Source!BA246,O266)</f>
        <v>0</v>
      </c>
      <c r="G266" s="4" t="s">
        <v>156</v>
      </c>
      <c r="H266" s="4" t="s">
        <v>157</v>
      </c>
      <c r="I266" s="4"/>
      <c r="J266" s="4"/>
      <c r="K266" s="4">
        <v>230</v>
      </c>
      <c r="L266" s="4">
        <v>19</v>
      </c>
      <c r="M266" s="4">
        <v>3</v>
      </c>
      <c r="N266" s="4" t="s">
        <v>6</v>
      </c>
      <c r="O266" s="4">
        <v>2</v>
      </c>
      <c r="P266" s="4"/>
      <c r="Q266" s="4"/>
      <c r="R266" s="4"/>
      <c r="S266" s="4"/>
      <c r="T266" s="4"/>
      <c r="U266" s="4"/>
      <c r="V266" s="4"/>
      <c r="W266" s="4"/>
    </row>
    <row r="267" spans="1:23" x14ac:dyDescent="0.2">
      <c r="A267" s="4">
        <v>50</v>
      </c>
      <c r="B267" s="4">
        <v>0</v>
      </c>
      <c r="C267" s="4">
        <v>0</v>
      </c>
      <c r="D267" s="4">
        <v>1</v>
      </c>
      <c r="E267" s="4">
        <v>206</v>
      </c>
      <c r="F267" s="4">
        <f>ROUND(Source!T246,O267)</f>
        <v>0</v>
      </c>
      <c r="G267" s="4" t="s">
        <v>158</v>
      </c>
      <c r="H267" s="4" t="s">
        <v>159</v>
      </c>
      <c r="I267" s="4"/>
      <c r="J267" s="4"/>
      <c r="K267" s="4">
        <v>206</v>
      </c>
      <c r="L267" s="4">
        <v>20</v>
      </c>
      <c r="M267" s="4">
        <v>3</v>
      </c>
      <c r="N267" s="4" t="s">
        <v>6</v>
      </c>
      <c r="O267" s="4">
        <v>2</v>
      </c>
      <c r="P267" s="4"/>
      <c r="Q267" s="4"/>
      <c r="R267" s="4"/>
      <c r="S267" s="4"/>
      <c r="T267" s="4"/>
      <c r="U267" s="4"/>
      <c r="V267" s="4"/>
      <c r="W267" s="4"/>
    </row>
    <row r="268" spans="1:23" x14ac:dyDescent="0.2">
      <c r="A268" s="4">
        <v>50</v>
      </c>
      <c r="B268" s="4">
        <v>0</v>
      </c>
      <c r="C268" s="4">
        <v>0</v>
      </c>
      <c r="D268" s="4">
        <v>1</v>
      </c>
      <c r="E268" s="4">
        <v>207</v>
      </c>
      <c r="F268" s="4">
        <f>ROUND(Source!U246,O268)</f>
        <v>804.27</v>
      </c>
      <c r="G268" s="4" t="s">
        <v>160</v>
      </c>
      <c r="H268" s="4" t="s">
        <v>161</v>
      </c>
      <c r="I268" s="4"/>
      <c r="J268" s="4"/>
      <c r="K268" s="4">
        <v>207</v>
      </c>
      <c r="L268" s="4">
        <v>21</v>
      </c>
      <c r="M268" s="4">
        <v>3</v>
      </c>
      <c r="N268" s="4" t="s">
        <v>6</v>
      </c>
      <c r="O268" s="4">
        <v>2</v>
      </c>
      <c r="P268" s="4"/>
      <c r="Q268" s="4"/>
      <c r="R268" s="4"/>
      <c r="S268" s="4"/>
      <c r="T268" s="4"/>
      <c r="U268" s="4"/>
      <c r="V268" s="4"/>
      <c r="W268" s="4"/>
    </row>
    <row r="269" spans="1:23" x14ac:dyDescent="0.2">
      <c r="A269" s="4">
        <v>50</v>
      </c>
      <c r="B269" s="4">
        <v>0</v>
      </c>
      <c r="C269" s="4">
        <v>0</v>
      </c>
      <c r="D269" s="4">
        <v>1</v>
      </c>
      <c r="E269" s="4">
        <v>208</v>
      </c>
      <c r="F269" s="4">
        <f>ROUND(Source!V246,O269)</f>
        <v>0</v>
      </c>
      <c r="G269" s="4" t="s">
        <v>162</v>
      </c>
      <c r="H269" s="4" t="s">
        <v>163</v>
      </c>
      <c r="I269" s="4"/>
      <c r="J269" s="4"/>
      <c r="K269" s="4">
        <v>208</v>
      </c>
      <c r="L269" s="4">
        <v>22</v>
      </c>
      <c r="M269" s="4">
        <v>3</v>
      </c>
      <c r="N269" s="4" t="s">
        <v>6</v>
      </c>
      <c r="O269" s="4">
        <v>2</v>
      </c>
      <c r="P269" s="4"/>
      <c r="Q269" s="4"/>
      <c r="R269" s="4"/>
      <c r="S269" s="4"/>
      <c r="T269" s="4"/>
      <c r="U269" s="4"/>
      <c r="V269" s="4"/>
      <c r="W269" s="4"/>
    </row>
    <row r="270" spans="1:23" x14ac:dyDescent="0.2">
      <c r="A270" s="4">
        <v>50</v>
      </c>
      <c r="B270" s="4">
        <v>0</v>
      </c>
      <c r="C270" s="4">
        <v>0</v>
      </c>
      <c r="D270" s="4">
        <v>1</v>
      </c>
      <c r="E270" s="4">
        <v>209</v>
      </c>
      <c r="F270" s="4">
        <f>ROUND(Source!W246,O270)</f>
        <v>0</v>
      </c>
      <c r="G270" s="4" t="s">
        <v>164</v>
      </c>
      <c r="H270" s="4" t="s">
        <v>165</v>
      </c>
      <c r="I270" s="4"/>
      <c r="J270" s="4"/>
      <c r="K270" s="4">
        <v>209</v>
      </c>
      <c r="L270" s="4">
        <v>23</v>
      </c>
      <c r="M270" s="4">
        <v>3</v>
      </c>
      <c r="N270" s="4" t="s">
        <v>6</v>
      </c>
      <c r="O270" s="4">
        <v>2</v>
      </c>
      <c r="P270" s="4"/>
      <c r="Q270" s="4"/>
      <c r="R270" s="4"/>
      <c r="S270" s="4"/>
      <c r="T270" s="4"/>
      <c r="U270" s="4"/>
      <c r="V270" s="4"/>
      <c r="W270" s="4"/>
    </row>
    <row r="271" spans="1:23" x14ac:dyDescent="0.2">
      <c r="A271" s="4">
        <v>50</v>
      </c>
      <c r="B271" s="4">
        <v>0</v>
      </c>
      <c r="C271" s="4">
        <v>0</v>
      </c>
      <c r="D271" s="4">
        <v>1</v>
      </c>
      <c r="E271" s="4">
        <v>233</v>
      </c>
      <c r="F271" s="4">
        <f>ROUND(Source!BD246,O271)</f>
        <v>0</v>
      </c>
      <c r="G271" s="4" t="s">
        <v>166</v>
      </c>
      <c r="H271" s="4" t="s">
        <v>167</v>
      </c>
      <c r="I271" s="4"/>
      <c r="J271" s="4"/>
      <c r="K271" s="4">
        <v>233</v>
      </c>
      <c r="L271" s="4">
        <v>24</v>
      </c>
      <c r="M271" s="4">
        <v>3</v>
      </c>
      <c r="N271" s="4" t="s">
        <v>6</v>
      </c>
      <c r="O271" s="4">
        <v>2</v>
      </c>
      <c r="P271" s="4"/>
      <c r="Q271" s="4"/>
      <c r="R271" s="4"/>
      <c r="S271" s="4"/>
      <c r="T271" s="4"/>
      <c r="U271" s="4"/>
      <c r="V271" s="4"/>
      <c r="W271" s="4"/>
    </row>
    <row r="272" spans="1:23" x14ac:dyDescent="0.2">
      <c r="A272" s="4">
        <v>50</v>
      </c>
      <c r="B272" s="4">
        <v>0</v>
      </c>
      <c r="C272" s="4">
        <v>0</v>
      </c>
      <c r="D272" s="4">
        <v>1</v>
      </c>
      <c r="E272" s="4">
        <v>210</v>
      </c>
      <c r="F272" s="4">
        <f>ROUND(Source!X246,O272)</f>
        <v>264365.76</v>
      </c>
      <c r="G272" s="4" t="s">
        <v>168</v>
      </c>
      <c r="H272" s="4" t="s">
        <v>169</v>
      </c>
      <c r="I272" s="4"/>
      <c r="J272" s="4"/>
      <c r="K272" s="4">
        <v>210</v>
      </c>
      <c r="L272" s="4">
        <v>25</v>
      </c>
      <c r="M272" s="4">
        <v>3</v>
      </c>
      <c r="N272" s="4" t="s">
        <v>6</v>
      </c>
      <c r="O272" s="4">
        <v>2</v>
      </c>
      <c r="P272" s="4"/>
      <c r="Q272" s="4"/>
      <c r="R272" s="4"/>
      <c r="S272" s="4"/>
      <c r="T272" s="4"/>
      <c r="U272" s="4"/>
      <c r="V272" s="4"/>
      <c r="W272" s="4"/>
    </row>
    <row r="273" spans="1:27" x14ac:dyDescent="0.2">
      <c r="A273" s="4">
        <v>50</v>
      </c>
      <c r="B273" s="4">
        <v>0</v>
      </c>
      <c r="C273" s="4">
        <v>0</v>
      </c>
      <c r="D273" s="4">
        <v>1</v>
      </c>
      <c r="E273" s="4">
        <v>211</v>
      </c>
      <c r="F273" s="4">
        <f>ROUND(Source!Y246,O273)</f>
        <v>164047.19</v>
      </c>
      <c r="G273" s="4" t="s">
        <v>170</v>
      </c>
      <c r="H273" s="4" t="s">
        <v>171</v>
      </c>
      <c r="I273" s="4"/>
      <c r="J273" s="4"/>
      <c r="K273" s="4">
        <v>211</v>
      </c>
      <c r="L273" s="4">
        <v>26</v>
      </c>
      <c r="M273" s="4">
        <v>3</v>
      </c>
      <c r="N273" s="4" t="s">
        <v>6</v>
      </c>
      <c r="O273" s="4">
        <v>2</v>
      </c>
      <c r="P273" s="4"/>
      <c r="Q273" s="4"/>
      <c r="R273" s="4"/>
      <c r="S273" s="4"/>
      <c r="T273" s="4"/>
      <c r="U273" s="4"/>
      <c r="V273" s="4"/>
      <c r="W273" s="4"/>
    </row>
    <row r="274" spans="1:27" x14ac:dyDescent="0.2">
      <c r="A274" s="4">
        <v>50</v>
      </c>
      <c r="B274" s="4">
        <v>0</v>
      </c>
      <c r="C274" s="4">
        <v>0</v>
      </c>
      <c r="D274" s="4">
        <v>1</v>
      </c>
      <c r="E274" s="4">
        <v>224</v>
      </c>
      <c r="F274" s="4">
        <f>ROUND(Source!AR246,O274)</f>
        <v>12036348.220000001</v>
      </c>
      <c r="G274" s="4" t="s">
        <v>172</v>
      </c>
      <c r="H274" s="4" t="s">
        <v>173</v>
      </c>
      <c r="I274" s="4"/>
      <c r="J274" s="4"/>
      <c r="K274" s="4">
        <v>224</v>
      </c>
      <c r="L274" s="4">
        <v>27</v>
      </c>
      <c r="M274" s="4">
        <v>3</v>
      </c>
      <c r="N274" s="4" t="s">
        <v>6</v>
      </c>
      <c r="O274" s="4">
        <v>2</v>
      </c>
      <c r="P274" s="4"/>
      <c r="Q274" s="4"/>
      <c r="R274" s="4"/>
      <c r="S274" s="4"/>
      <c r="T274" s="4"/>
      <c r="U274" s="4"/>
      <c r="V274" s="4"/>
      <c r="W274" s="4"/>
    </row>
    <row r="275" spans="1:27" x14ac:dyDescent="0.2">
      <c r="A275" s="4">
        <v>50</v>
      </c>
      <c r="B275" s="4">
        <v>1</v>
      </c>
      <c r="C275" s="4">
        <v>0</v>
      </c>
      <c r="D275" s="4">
        <v>2</v>
      </c>
      <c r="E275" s="4">
        <v>0</v>
      </c>
      <c r="F275" s="4">
        <v>0</v>
      </c>
      <c r="G275" s="4" t="s">
        <v>217</v>
      </c>
      <c r="H275" s="4" t="s">
        <v>203</v>
      </c>
      <c r="I275" s="4"/>
      <c r="J275" s="4"/>
      <c r="K275" s="4">
        <v>212</v>
      </c>
      <c r="L275" s="4">
        <v>28</v>
      </c>
      <c r="M275" s="4">
        <v>0</v>
      </c>
      <c r="N275" s="4" t="s">
        <v>6</v>
      </c>
      <c r="O275" s="4">
        <v>2</v>
      </c>
      <c r="P275" s="4"/>
      <c r="Q275" s="4"/>
      <c r="R275" s="4"/>
      <c r="S275" s="4"/>
      <c r="T275" s="4"/>
      <c r="U275" s="4"/>
      <c r="V275" s="4"/>
      <c r="W275" s="4"/>
    </row>
    <row r="276" spans="1:27" x14ac:dyDescent="0.2">
      <c r="A276" s="4">
        <v>50</v>
      </c>
      <c r="B276" s="4">
        <v>1</v>
      </c>
      <c r="C276" s="4">
        <v>0</v>
      </c>
      <c r="D276" s="4">
        <v>2</v>
      </c>
      <c r="E276" s="4">
        <v>0</v>
      </c>
      <c r="F276" s="4">
        <f>ROUND(F275*0.97,O276)</f>
        <v>0</v>
      </c>
      <c r="G276" s="4" t="s">
        <v>215</v>
      </c>
      <c r="H276" s="4" t="s">
        <v>218</v>
      </c>
      <c r="I276" s="4"/>
      <c r="J276" s="4"/>
      <c r="K276" s="4">
        <v>212</v>
      </c>
      <c r="L276" s="4">
        <v>29</v>
      </c>
      <c r="M276" s="4">
        <v>0</v>
      </c>
      <c r="N276" s="4" t="s">
        <v>6</v>
      </c>
      <c r="O276" s="4">
        <v>2</v>
      </c>
      <c r="P276" s="4"/>
      <c r="Q276" s="4"/>
      <c r="R276" s="4"/>
      <c r="S276" s="4"/>
      <c r="T276" s="4"/>
      <c r="U276" s="4"/>
      <c r="V276" s="4"/>
      <c r="W276" s="4"/>
    </row>
    <row r="279" spans="1:27" x14ac:dyDescent="0.2">
      <c r="A279">
        <v>-1</v>
      </c>
    </row>
    <row r="281" spans="1:27" x14ac:dyDescent="0.2">
      <c r="A281" s="3">
        <v>75</v>
      </c>
      <c r="B281" s="3" t="s">
        <v>219</v>
      </c>
      <c r="C281" s="3">
        <v>2019</v>
      </c>
      <c r="D281" s="3">
        <v>0</v>
      </c>
      <c r="E281" s="3">
        <v>2</v>
      </c>
      <c r="F281" s="3"/>
      <c r="G281" s="3">
        <v>0</v>
      </c>
      <c r="H281" s="3">
        <v>2</v>
      </c>
      <c r="I281" s="3">
        <v>1</v>
      </c>
      <c r="J281" s="3">
        <v>1</v>
      </c>
      <c r="K281" s="3">
        <v>93</v>
      </c>
      <c r="L281" s="3">
        <v>64</v>
      </c>
      <c r="M281" s="3">
        <v>0</v>
      </c>
      <c r="N281" s="3">
        <v>44175489</v>
      </c>
      <c r="O281" s="3">
        <v>1</v>
      </c>
    </row>
    <row r="282" spans="1:27" x14ac:dyDescent="0.2">
      <c r="A282" s="5">
        <v>1</v>
      </c>
      <c r="B282" s="5" t="s">
        <v>220</v>
      </c>
      <c r="C282" s="5" t="s">
        <v>221</v>
      </c>
      <c r="D282" s="5">
        <v>2019</v>
      </c>
      <c r="E282" s="5">
        <v>2</v>
      </c>
      <c r="F282" s="5">
        <v>1</v>
      </c>
      <c r="G282" s="5">
        <v>1</v>
      </c>
      <c r="H282" s="5">
        <v>0</v>
      </c>
      <c r="I282" s="5">
        <v>2</v>
      </c>
      <c r="J282" s="5">
        <v>1</v>
      </c>
      <c r="K282" s="5">
        <v>1</v>
      </c>
      <c r="L282" s="5">
        <v>1</v>
      </c>
      <c r="M282" s="5">
        <v>1</v>
      </c>
      <c r="N282" s="5">
        <v>1</v>
      </c>
      <c r="O282" s="5">
        <v>1</v>
      </c>
      <c r="P282" s="5">
        <v>1</v>
      </c>
      <c r="Q282" s="5">
        <v>1</v>
      </c>
      <c r="R282" s="5" t="s">
        <v>6</v>
      </c>
      <c r="S282" s="5" t="s">
        <v>6</v>
      </c>
      <c r="T282" s="5" t="s">
        <v>6</v>
      </c>
      <c r="U282" s="5" t="s">
        <v>6</v>
      </c>
      <c r="V282" s="5" t="s">
        <v>6</v>
      </c>
      <c r="W282" s="5" t="s">
        <v>6</v>
      </c>
      <c r="X282" s="5" t="s">
        <v>6</v>
      </c>
      <c r="Y282" s="5" t="s">
        <v>6</v>
      </c>
      <c r="Z282" s="5" t="s">
        <v>6</v>
      </c>
      <c r="AA282" s="5" t="s">
        <v>222</v>
      </c>
    </row>
    <row r="286" spans="1:27" x14ac:dyDescent="0.2">
      <c r="A286">
        <v>65</v>
      </c>
      <c r="C286">
        <v>1</v>
      </c>
      <c r="D286">
        <v>0</v>
      </c>
      <c r="E286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4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223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28578</v>
      </c>
      <c r="M1">
        <v>10</v>
      </c>
      <c r="N1">
        <v>11</v>
      </c>
      <c r="O1">
        <v>0</v>
      </c>
      <c r="P1">
        <v>0</v>
      </c>
      <c r="Q1">
        <v>3</v>
      </c>
    </row>
    <row r="12" spans="1:133" x14ac:dyDescent="0.2">
      <c r="A12" s="1">
        <v>1</v>
      </c>
      <c r="B12" s="1">
        <v>53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7</v>
      </c>
      <c r="K12" s="1">
        <v>0</v>
      </c>
      <c r="L12" s="1"/>
      <c r="M12" s="1"/>
      <c r="N12" s="1"/>
      <c r="O12" s="1">
        <v>0</v>
      </c>
      <c r="P12" s="1">
        <v>0</v>
      </c>
      <c r="Q12" s="1">
        <v>0</v>
      </c>
      <c r="R12" s="1">
        <v>157</v>
      </c>
      <c r="S12" s="1"/>
      <c r="T12" s="1"/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8</v>
      </c>
      <c r="AC12" s="1" t="s">
        <v>9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10</v>
      </c>
      <c r="AI12" s="1" t="s">
        <v>11</v>
      </c>
      <c r="AJ12" s="1" t="s">
        <v>12</v>
      </c>
      <c r="AK12" s="1"/>
      <c r="AL12" s="1" t="s">
        <v>13</v>
      </c>
      <c r="AM12" s="1" t="s">
        <v>11</v>
      </c>
      <c r="AN12" s="1" t="s">
        <v>14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15</v>
      </c>
      <c r="AY12" s="1" t="s">
        <v>16</v>
      </c>
      <c r="AZ12" s="1" t="s">
        <v>17</v>
      </c>
      <c r="BA12" s="1"/>
      <c r="BB12" s="1"/>
      <c r="BC12" s="1"/>
      <c r="BD12" s="1"/>
      <c r="BE12" s="1"/>
      <c r="BF12" s="1"/>
      <c r="BG12" s="1"/>
      <c r="BH12" s="1" t="s">
        <v>18</v>
      </c>
      <c r="BI12" s="1" t="s">
        <v>19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20</v>
      </c>
      <c r="BZ12" s="1" t="s">
        <v>21</v>
      </c>
      <c r="CA12" s="1" t="s">
        <v>22</v>
      </c>
      <c r="CB12" s="1" t="s">
        <v>22</v>
      </c>
      <c r="CC12" s="1" t="s">
        <v>22</v>
      </c>
      <c r="CD12" s="1" t="s">
        <v>22</v>
      </c>
      <c r="CE12" s="1" t="s">
        <v>23</v>
      </c>
      <c r="CF12" s="1">
        <v>0</v>
      </c>
      <c r="CG12" s="1">
        <v>0</v>
      </c>
      <c r="CH12" s="1">
        <v>8</v>
      </c>
      <c r="CI12" s="1" t="s">
        <v>6</v>
      </c>
      <c r="CJ12" s="1" t="s">
        <v>6</v>
      </c>
      <c r="CK12" s="1">
        <v>53</v>
      </c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44175489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24</v>
      </c>
      <c r="D16" s="6" t="s">
        <v>25</v>
      </c>
      <c r="E16" s="7">
        <f>(Source!F226)/1000</f>
        <v>12018.008529999999</v>
      </c>
      <c r="F16" s="7">
        <f>(Source!F227)/1000</f>
        <v>3.0344600000000002</v>
      </c>
      <c r="G16" s="7">
        <f>(Source!F218)/1000</f>
        <v>0</v>
      </c>
      <c r="H16" s="7">
        <f>(Source!F228)/1000+(Source!F229)/1000</f>
        <v>15.30523</v>
      </c>
      <c r="I16" s="7">
        <f>E16+F16+G16+H16</f>
        <v>12036.34822</v>
      </c>
      <c r="J16" s="7">
        <f>(Source!F224)/1000</f>
        <v>229.20327</v>
      </c>
      <c r="AI16" s="6">
        <v>0</v>
      </c>
      <c r="AJ16" s="6">
        <v>-1</v>
      </c>
      <c r="AK16" s="6" t="s">
        <v>6</v>
      </c>
      <c r="AL16" s="6" t="s">
        <v>6</v>
      </c>
      <c r="AM16" s="6" t="s">
        <v>6</v>
      </c>
      <c r="AN16" s="6">
        <v>0</v>
      </c>
      <c r="AO16" s="6" t="s">
        <v>6</v>
      </c>
      <c r="AP16" s="6" t="s">
        <v>7</v>
      </c>
      <c r="AT16" s="7">
        <v>10423687.050000001</v>
      </c>
      <c r="AU16" s="7">
        <v>6200815.9400000004</v>
      </c>
      <c r="AW16" s="7">
        <v>0</v>
      </c>
      <c r="AX16" s="7">
        <v>0</v>
      </c>
      <c r="AY16" s="7">
        <v>3993667.6</v>
      </c>
      <c r="AZ16" s="7">
        <v>754298.35</v>
      </c>
      <c r="BA16" s="7">
        <v>229203.51</v>
      </c>
      <c r="BB16" s="7">
        <v>12018008.85</v>
      </c>
      <c r="BC16" s="7">
        <v>3034.54</v>
      </c>
      <c r="BD16" s="7">
        <v>15305.21</v>
      </c>
      <c r="BE16" s="7">
        <v>0</v>
      </c>
      <c r="BF16" s="7">
        <v>804.27</v>
      </c>
      <c r="BG16" s="7">
        <v>0</v>
      </c>
      <c r="BH16" s="7">
        <v>0</v>
      </c>
      <c r="BI16" s="7">
        <v>264365.92</v>
      </c>
      <c r="BJ16" s="7">
        <v>164047.24</v>
      </c>
      <c r="BK16" s="7">
        <v>12036348.6</v>
      </c>
    </row>
    <row r="18" spans="1:19" x14ac:dyDescent="0.2">
      <c r="A18">
        <v>51</v>
      </c>
      <c r="E18" s="8">
        <f>SUMIF(A16:A17,3,E16:E17)</f>
        <v>12018.008529999999</v>
      </c>
      <c r="F18" s="8">
        <f>SUMIF(A16:A17,3,F16:F17)</f>
        <v>3.0344600000000002</v>
      </c>
      <c r="G18" s="8">
        <f>SUMIF(A16:A17,3,G16:G17)</f>
        <v>0</v>
      </c>
      <c r="H18" s="8">
        <f>SUMIF(A16:A17,3,H16:H17)</f>
        <v>15.30523</v>
      </c>
      <c r="I18" s="8">
        <f>SUMIF(A16:A17,3,I16:I17)</f>
        <v>12036.34822</v>
      </c>
      <c r="J18" s="8">
        <f>SUMIF(A16:A17,3,J16:J17)</f>
        <v>229.20327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10423687.050000001</v>
      </c>
      <c r="G20" s="4" t="s">
        <v>120</v>
      </c>
      <c r="H20" s="4" t="s">
        <v>121</v>
      </c>
      <c r="I20" s="4"/>
      <c r="J20" s="4"/>
      <c r="K20" s="4">
        <v>201</v>
      </c>
      <c r="L20" s="4">
        <v>1</v>
      </c>
      <c r="M20" s="4">
        <v>3</v>
      </c>
      <c r="N20" s="4" t="s">
        <v>6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6200815.9400000004</v>
      </c>
      <c r="G21" s="4" t="s">
        <v>122</v>
      </c>
      <c r="H21" s="4" t="s">
        <v>123</v>
      </c>
      <c r="I21" s="4"/>
      <c r="J21" s="4"/>
      <c r="K21" s="4">
        <v>202</v>
      </c>
      <c r="L21" s="4">
        <v>2</v>
      </c>
      <c r="M21" s="4">
        <v>3</v>
      </c>
      <c r="N21" s="4" t="s">
        <v>6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227</v>
      </c>
      <c r="F22" s="4">
        <v>0</v>
      </c>
      <c r="G22" s="4" t="s">
        <v>124</v>
      </c>
      <c r="H22" s="4" t="s">
        <v>125</v>
      </c>
      <c r="I22" s="4"/>
      <c r="J22" s="4"/>
      <c r="K22" s="4">
        <v>222</v>
      </c>
      <c r="L22" s="4">
        <v>3</v>
      </c>
      <c r="M22" s="4">
        <v>3</v>
      </c>
      <c r="N22" s="4" t="s">
        <v>6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6200815.9400000004</v>
      </c>
      <c r="G23" s="4" t="s">
        <v>126</v>
      </c>
      <c r="H23" s="4" t="s">
        <v>127</v>
      </c>
      <c r="I23" s="4"/>
      <c r="J23" s="4"/>
      <c r="K23" s="4">
        <v>225</v>
      </c>
      <c r="L23" s="4">
        <v>4</v>
      </c>
      <c r="M23" s="4">
        <v>3</v>
      </c>
      <c r="N23" s="4" t="s">
        <v>6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6200815.9400000004</v>
      </c>
      <c r="G24" s="4" t="s">
        <v>128</v>
      </c>
      <c r="H24" s="4" t="s">
        <v>129</v>
      </c>
      <c r="I24" s="4"/>
      <c r="J24" s="4"/>
      <c r="K24" s="4">
        <v>226</v>
      </c>
      <c r="L24" s="4">
        <v>5</v>
      </c>
      <c r="M24" s="4">
        <v>3</v>
      </c>
      <c r="N24" s="4" t="s">
        <v>6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0</v>
      </c>
      <c r="F25" s="4">
        <v>0</v>
      </c>
      <c r="G25" s="4" t="s">
        <v>130</v>
      </c>
      <c r="H25" s="4" t="s">
        <v>131</v>
      </c>
      <c r="I25" s="4"/>
      <c r="J25" s="4"/>
      <c r="K25" s="4">
        <v>227</v>
      </c>
      <c r="L25" s="4">
        <v>6</v>
      </c>
      <c r="M25" s="4">
        <v>3</v>
      </c>
      <c r="N25" s="4" t="s">
        <v>6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6200815.9400000004</v>
      </c>
      <c r="G26" s="4" t="s">
        <v>132</v>
      </c>
      <c r="H26" s="4" t="s">
        <v>133</v>
      </c>
      <c r="I26" s="4"/>
      <c r="J26" s="4"/>
      <c r="K26" s="4">
        <v>228</v>
      </c>
      <c r="L26" s="4">
        <v>7</v>
      </c>
      <c r="M26" s="4">
        <v>3</v>
      </c>
      <c r="N26" s="4" t="s">
        <v>6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134</v>
      </c>
      <c r="H27" s="4" t="s">
        <v>135</v>
      </c>
      <c r="I27" s="4"/>
      <c r="J27" s="4"/>
      <c r="K27" s="4">
        <v>216</v>
      </c>
      <c r="L27" s="4">
        <v>8</v>
      </c>
      <c r="M27" s="4">
        <v>3</v>
      </c>
      <c r="N27" s="4" t="s">
        <v>6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136</v>
      </c>
      <c r="H28" s="4" t="s">
        <v>137</v>
      </c>
      <c r="I28" s="4"/>
      <c r="J28" s="4"/>
      <c r="K28" s="4">
        <v>223</v>
      </c>
      <c r="L28" s="4">
        <v>9</v>
      </c>
      <c r="M28" s="4">
        <v>3</v>
      </c>
      <c r="N28" s="4" t="s">
        <v>6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138</v>
      </c>
      <c r="H29" s="4" t="s">
        <v>139</v>
      </c>
      <c r="I29" s="4"/>
      <c r="J29" s="4"/>
      <c r="K29" s="4">
        <v>229</v>
      </c>
      <c r="L29" s="4">
        <v>10</v>
      </c>
      <c r="M29" s="4">
        <v>3</v>
      </c>
      <c r="N29" s="4" t="s">
        <v>6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3993667.6</v>
      </c>
      <c r="G30" s="4" t="s">
        <v>140</v>
      </c>
      <c r="H30" s="4" t="s">
        <v>141</v>
      </c>
      <c r="I30" s="4"/>
      <c r="J30" s="4"/>
      <c r="K30" s="4">
        <v>203</v>
      </c>
      <c r="L30" s="4">
        <v>11</v>
      </c>
      <c r="M30" s="4">
        <v>3</v>
      </c>
      <c r="N30" s="4" t="s">
        <v>6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142</v>
      </c>
      <c r="H31" s="4" t="s">
        <v>143</v>
      </c>
      <c r="I31" s="4"/>
      <c r="J31" s="4"/>
      <c r="K31" s="4">
        <v>231</v>
      </c>
      <c r="L31" s="4">
        <v>12</v>
      </c>
      <c r="M31" s="4">
        <v>3</v>
      </c>
      <c r="N31" s="4" t="s">
        <v>6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754298.35</v>
      </c>
      <c r="G32" s="4" t="s">
        <v>144</v>
      </c>
      <c r="H32" s="4" t="s">
        <v>145</v>
      </c>
      <c r="I32" s="4"/>
      <c r="J32" s="4"/>
      <c r="K32" s="4">
        <v>204</v>
      </c>
      <c r="L32" s="4">
        <v>13</v>
      </c>
      <c r="M32" s="4">
        <v>3</v>
      </c>
      <c r="N32" s="4" t="s">
        <v>6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229203.51</v>
      </c>
      <c r="G33" s="4" t="s">
        <v>146</v>
      </c>
      <c r="H33" s="4" t="s">
        <v>147</v>
      </c>
      <c r="I33" s="4"/>
      <c r="J33" s="4"/>
      <c r="K33" s="4">
        <v>205</v>
      </c>
      <c r="L33" s="4">
        <v>14</v>
      </c>
      <c r="M33" s="4">
        <v>3</v>
      </c>
      <c r="N33" s="4" t="s">
        <v>6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148</v>
      </c>
      <c r="H34" s="4" t="s">
        <v>149</v>
      </c>
      <c r="I34" s="4"/>
      <c r="J34" s="4"/>
      <c r="K34" s="4">
        <v>232</v>
      </c>
      <c r="L34" s="4">
        <v>15</v>
      </c>
      <c r="M34" s="4">
        <v>3</v>
      </c>
      <c r="N34" s="4" t="s">
        <v>6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12018008.85</v>
      </c>
      <c r="G35" s="4" t="s">
        <v>150</v>
      </c>
      <c r="H35" s="4" t="s">
        <v>151</v>
      </c>
      <c r="I35" s="4"/>
      <c r="J35" s="4"/>
      <c r="K35" s="4">
        <v>214</v>
      </c>
      <c r="L35" s="4">
        <v>16</v>
      </c>
      <c r="M35" s="4">
        <v>3</v>
      </c>
      <c r="N35" s="4" t="s">
        <v>6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3034.54</v>
      </c>
      <c r="G36" s="4" t="s">
        <v>152</v>
      </c>
      <c r="H36" s="4" t="s">
        <v>153</v>
      </c>
      <c r="I36" s="4"/>
      <c r="J36" s="4"/>
      <c r="K36" s="4">
        <v>215</v>
      </c>
      <c r="L36" s="4">
        <v>17</v>
      </c>
      <c r="M36" s="4">
        <v>3</v>
      </c>
      <c r="N36" s="4" t="s">
        <v>6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15305.21</v>
      </c>
      <c r="G37" s="4" t="s">
        <v>154</v>
      </c>
      <c r="H37" s="4" t="s">
        <v>155</v>
      </c>
      <c r="I37" s="4"/>
      <c r="J37" s="4"/>
      <c r="K37" s="4">
        <v>217</v>
      </c>
      <c r="L37" s="4">
        <v>18</v>
      </c>
      <c r="M37" s="4">
        <v>3</v>
      </c>
      <c r="N37" s="4" t="s">
        <v>6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156</v>
      </c>
      <c r="H38" s="4" t="s">
        <v>157</v>
      </c>
      <c r="I38" s="4"/>
      <c r="J38" s="4"/>
      <c r="K38" s="4">
        <v>230</v>
      </c>
      <c r="L38" s="4">
        <v>19</v>
      </c>
      <c r="M38" s="4">
        <v>3</v>
      </c>
      <c r="N38" s="4" t="s">
        <v>6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158</v>
      </c>
      <c r="H39" s="4" t="s">
        <v>159</v>
      </c>
      <c r="I39" s="4"/>
      <c r="J39" s="4"/>
      <c r="K39" s="4">
        <v>206</v>
      </c>
      <c r="L39" s="4">
        <v>20</v>
      </c>
      <c r="M39" s="4">
        <v>3</v>
      </c>
      <c r="N39" s="4" t="s">
        <v>6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804.27</v>
      </c>
      <c r="G40" s="4" t="s">
        <v>160</v>
      </c>
      <c r="H40" s="4" t="s">
        <v>161</v>
      </c>
      <c r="I40" s="4"/>
      <c r="J40" s="4"/>
      <c r="K40" s="4">
        <v>207</v>
      </c>
      <c r="L40" s="4">
        <v>21</v>
      </c>
      <c r="M40" s="4">
        <v>3</v>
      </c>
      <c r="N40" s="4" t="s">
        <v>6</v>
      </c>
      <c r="O40" s="4">
        <v>2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162</v>
      </c>
      <c r="H41" s="4" t="s">
        <v>163</v>
      </c>
      <c r="I41" s="4"/>
      <c r="J41" s="4"/>
      <c r="K41" s="4">
        <v>208</v>
      </c>
      <c r="L41" s="4">
        <v>22</v>
      </c>
      <c r="M41" s="4">
        <v>3</v>
      </c>
      <c r="N41" s="4" t="s">
        <v>6</v>
      </c>
      <c r="O41" s="4">
        <v>2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164</v>
      </c>
      <c r="H42" s="4" t="s">
        <v>165</v>
      </c>
      <c r="I42" s="4"/>
      <c r="J42" s="4"/>
      <c r="K42" s="4">
        <v>209</v>
      </c>
      <c r="L42" s="4">
        <v>23</v>
      </c>
      <c r="M42" s="4">
        <v>3</v>
      </c>
      <c r="N42" s="4" t="s">
        <v>6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166</v>
      </c>
      <c r="H43" s="4" t="s">
        <v>167</v>
      </c>
      <c r="I43" s="4"/>
      <c r="J43" s="4"/>
      <c r="K43" s="4">
        <v>233</v>
      </c>
      <c r="L43" s="4">
        <v>24</v>
      </c>
      <c r="M43" s="4">
        <v>3</v>
      </c>
      <c r="N43" s="4" t="s">
        <v>6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264365.92</v>
      </c>
      <c r="G44" s="4" t="s">
        <v>168</v>
      </c>
      <c r="H44" s="4" t="s">
        <v>169</v>
      </c>
      <c r="I44" s="4"/>
      <c r="J44" s="4"/>
      <c r="K44" s="4">
        <v>210</v>
      </c>
      <c r="L44" s="4">
        <v>25</v>
      </c>
      <c r="M44" s="4">
        <v>3</v>
      </c>
      <c r="N44" s="4" t="s">
        <v>6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164047.24</v>
      </c>
      <c r="G45" s="4" t="s">
        <v>170</v>
      </c>
      <c r="H45" s="4" t="s">
        <v>171</v>
      </c>
      <c r="I45" s="4"/>
      <c r="J45" s="4"/>
      <c r="K45" s="4">
        <v>211</v>
      </c>
      <c r="L45" s="4">
        <v>26</v>
      </c>
      <c r="M45" s="4">
        <v>3</v>
      </c>
      <c r="N45" s="4" t="s">
        <v>6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12036348.6</v>
      </c>
      <c r="G46" s="4" t="s">
        <v>172</v>
      </c>
      <c r="H46" s="4" t="s">
        <v>173</v>
      </c>
      <c r="I46" s="4"/>
      <c r="J46" s="4"/>
      <c r="K46" s="4">
        <v>224</v>
      </c>
      <c r="L46" s="4">
        <v>27</v>
      </c>
      <c r="M46" s="4">
        <v>3</v>
      </c>
      <c r="N46" s="4" t="s">
        <v>6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0</v>
      </c>
      <c r="G47" s="4" t="s">
        <v>217</v>
      </c>
      <c r="H47" s="4" t="s">
        <v>203</v>
      </c>
      <c r="I47" s="4"/>
      <c r="J47" s="4"/>
      <c r="K47" s="4">
        <v>212</v>
      </c>
      <c r="L47" s="4">
        <v>28</v>
      </c>
      <c r="M47" s="4">
        <v>0</v>
      </c>
      <c r="N47" s="4" t="s">
        <v>6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0</v>
      </c>
      <c r="G48" s="4" t="s">
        <v>215</v>
      </c>
      <c r="H48" s="4" t="s">
        <v>218</v>
      </c>
      <c r="I48" s="4"/>
      <c r="J48" s="4"/>
      <c r="K48" s="4">
        <v>212</v>
      </c>
      <c r="L48" s="4">
        <v>29</v>
      </c>
      <c r="M48" s="4">
        <v>0</v>
      </c>
      <c r="N48" s="4" t="s">
        <v>6</v>
      </c>
      <c r="O48" s="4">
        <v>2</v>
      </c>
      <c r="P48" s="4"/>
    </row>
    <row r="50" spans="1:27" x14ac:dyDescent="0.2">
      <c r="A50">
        <v>-1</v>
      </c>
    </row>
    <row r="53" spans="1:27" x14ac:dyDescent="0.2">
      <c r="A53" s="3">
        <v>75</v>
      </c>
      <c r="B53" s="3" t="s">
        <v>219</v>
      </c>
      <c r="C53" s="3">
        <v>2019</v>
      </c>
      <c r="D53" s="3">
        <v>0</v>
      </c>
      <c r="E53" s="3">
        <v>2</v>
      </c>
      <c r="F53" s="3"/>
      <c r="G53" s="3">
        <v>0</v>
      </c>
      <c r="H53" s="3">
        <v>2</v>
      </c>
      <c r="I53" s="3">
        <v>1</v>
      </c>
      <c r="J53" s="3">
        <v>1</v>
      </c>
      <c r="K53" s="3">
        <v>93</v>
      </c>
      <c r="L53" s="3">
        <v>64</v>
      </c>
      <c r="M53" s="3">
        <v>0</v>
      </c>
      <c r="N53" s="3">
        <v>44175489</v>
      </c>
      <c r="O53" s="3">
        <v>1</v>
      </c>
    </row>
    <row r="54" spans="1:27" x14ac:dyDescent="0.2">
      <c r="A54" s="5">
        <v>1</v>
      </c>
      <c r="B54" s="5" t="s">
        <v>220</v>
      </c>
      <c r="C54" s="5" t="s">
        <v>221</v>
      </c>
      <c r="D54" s="5">
        <v>2019</v>
      </c>
      <c r="E54" s="5">
        <v>2</v>
      </c>
      <c r="F54" s="5">
        <v>1</v>
      </c>
      <c r="G54" s="5">
        <v>1</v>
      </c>
      <c r="H54" s="5">
        <v>0</v>
      </c>
      <c r="I54" s="5">
        <v>2</v>
      </c>
      <c r="J54" s="5">
        <v>1</v>
      </c>
      <c r="K54" s="5">
        <v>1</v>
      </c>
      <c r="L54" s="5">
        <v>1</v>
      </c>
      <c r="M54" s="5">
        <v>1</v>
      </c>
      <c r="N54" s="5">
        <v>1</v>
      </c>
      <c r="O54" s="5">
        <v>1</v>
      </c>
      <c r="P54" s="5">
        <v>1</v>
      </c>
      <c r="Q54" s="5">
        <v>1</v>
      </c>
      <c r="R54" s="5" t="s">
        <v>6</v>
      </c>
      <c r="S54" s="5" t="s">
        <v>6</v>
      </c>
      <c r="T54" s="5" t="s">
        <v>6</v>
      </c>
      <c r="U54" s="5" t="s">
        <v>6</v>
      </c>
      <c r="V54" s="5" t="s">
        <v>6</v>
      </c>
      <c r="W54" s="5" t="s">
        <v>6</v>
      </c>
      <c r="X54" s="5" t="s">
        <v>6</v>
      </c>
      <c r="Y54" s="5" t="s">
        <v>6</v>
      </c>
      <c r="Z54" s="5" t="s">
        <v>6</v>
      </c>
      <c r="AA54" s="5" t="s">
        <v>222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9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7" x14ac:dyDescent="0.2">
      <c r="A1">
        <f>ROW(Source!A32)</f>
        <v>32</v>
      </c>
      <c r="B1">
        <v>44175489</v>
      </c>
      <c r="C1">
        <v>44171220</v>
      </c>
      <c r="D1">
        <v>34984826</v>
      </c>
      <c r="E1">
        <v>34959076</v>
      </c>
      <c r="F1">
        <v>1</v>
      </c>
      <c r="G1">
        <v>34959076</v>
      </c>
      <c r="H1">
        <v>1</v>
      </c>
      <c r="I1" t="s">
        <v>224</v>
      </c>
      <c r="J1" t="s">
        <v>6</v>
      </c>
      <c r="K1" t="s">
        <v>225</v>
      </c>
      <c r="L1">
        <v>1191</v>
      </c>
      <c r="N1">
        <v>1013</v>
      </c>
      <c r="O1" t="s">
        <v>226</v>
      </c>
      <c r="P1" t="s">
        <v>226</v>
      </c>
      <c r="Q1">
        <v>1</v>
      </c>
      <c r="W1">
        <v>0</v>
      </c>
      <c r="X1">
        <v>476480486</v>
      </c>
      <c r="Y1">
        <v>192.7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6</v>
      </c>
      <c r="AT1">
        <v>192.7</v>
      </c>
      <c r="AU1" t="s">
        <v>6</v>
      </c>
      <c r="AV1">
        <v>1</v>
      </c>
      <c r="AW1">
        <v>2</v>
      </c>
      <c r="AX1">
        <v>44171223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Y1*Source!I32</f>
        <v>41.623199999999997</v>
      </c>
      <c r="CY1">
        <f>AD1</f>
        <v>0</v>
      </c>
      <c r="CZ1">
        <f>AH1</f>
        <v>0</v>
      </c>
      <c r="DA1">
        <f>AL1</f>
        <v>1</v>
      </c>
      <c r="DB1">
        <f t="shared" ref="DB1:DB32" si="0">ROUND(ROUND(AT1*CZ1,2),6)</f>
        <v>0</v>
      </c>
      <c r="DC1">
        <f t="shared" ref="DC1:DC32" si="1">ROUND(ROUND(AT1*AG1,2),6)</f>
        <v>0</v>
      </c>
    </row>
    <row r="2" spans="1:107" x14ac:dyDescent="0.2">
      <c r="A2">
        <f>ROW(Source!A33)</f>
        <v>33</v>
      </c>
      <c r="B2">
        <v>44175489</v>
      </c>
      <c r="C2">
        <v>44171224</v>
      </c>
      <c r="D2">
        <v>34984826</v>
      </c>
      <c r="E2">
        <v>34959076</v>
      </c>
      <c r="F2">
        <v>1</v>
      </c>
      <c r="G2">
        <v>34959076</v>
      </c>
      <c r="H2">
        <v>1</v>
      </c>
      <c r="I2" t="s">
        <v>224</v>
      </c>
      <c r="J2" t="s">
        <v>6</v>
      </c>
      <c r="K2" t="s">
        <v>225</v>
      </c>
      <c r="L2">
        <v>1191</v>
      </c>
      <c r="N2">
        <v>1013</v>
      </c>
      <c r="O2" t="s">
        <v>226</v>
      </c>
      <c r="P2" t="s">
        <v>226</v>
      </c>
      <c r="Q2">
        <v>1</v>
      </c>
      <c r="W2">
        <v>0</v>
      </c>
      <c r="X2">
        <v>476480486</v>
      </c>
      <c r="Y2">
        <v>107.04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6</v>
      </c>
      <c r="AT2">
        <v>107.04</v>
      </c>
      <c r="AU2" t="s">
        <v>6</v>
      </c>
      <c r="AV2">
        <v>1</v>
      </c>
      <c r="AW2">
        <v>2</v>
      </c>
      <c r="AX2">
        <v>44171229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Y2*Source!I33</f>
        <v>23.120640000000002</v>
      </c>
      <c r="CY2">
        <f>AD2</f>
        <v>0</v>
      </c>
      <c r="CZ2">
        <f>AH2</f>
        <v>0</v>
      </c>
      <c r="DA2">
        <f>AL2</f>
        <v>1</v>
      </c>
      <c r="DB2">
        <f t="shared" si="0"/>
        <v>0</v>
      </c>
      <c r="DC2">
        <f t="shared" si="1"/>
        <v>0</v>
      </c>
    </row>
    <row r="3" spans="1:107" x14ac:dyDescent="0.2">
      <c r="A3">
        <f>ROW(Source!A33)</f>
        <v>33</v>
      </c>
      <c r="B3">
        <v>44175489</v>
      </c>
      <c r="C3">
        <v>44171224</v>
      </c>
      <c r="D3">
        <v>0</v>
      </c>
      <c r="E3">
        <v>1</v>
      </c>
      <c r="F3">
        <v>1</v>
      </c>
      <c r="G3">
        <v>34959076</v>
      </c>
      <c r="H3">
        <v>3</v>
      </c>
      <c r="I3" t="s">
        <v>41</v>
      </c>
      <c r="J3" t="s">
        <v>227</v>
      </c>
      <c r="K3" t="s">
        <v>228</v>
      </c>
      <c r="L3">
        <v>1339</v>
      </c>
      <c r="N3">
        <v>1007</v>
      </c>
      <c r="O3" t="s">
        <v>43</v>
      </c>
      <c r="P3" t="s">
        <v>43</v>
      </c>
      <c r="Q3">
        <v>1</v>
      </c>
      <c r="W3">
        <v>0</v>
      </c>
      <c r="X3">
        <v>-419971176</v>
      </c>
      <c r="Y3">
        <v>110</v>
      </c>
      <c r="AA3">
        <v>104.99</v>
      </c>
      <c r="AB3">
        <v>0</v>
      </c>
      <c r="AC3">
        <v>0</v>
      </c>
      <c r="AD3">
        <v>0</v>
      </c>
      <c r="AE3">
        <v>104.99</v>
      </c>
      <c r="AF3">
        <v>0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N3">
        <v>0</v>
      </c>
      <c r="AO3">
        <v>0</v>
      </c>
      <c r="AP3">
        <v>0</v>
      </c>
      <c r="AQ3">
        <v>0</v>
      </c>
      <c r="AR3">
        <v>0</v>
      </c>
      <c r="AS3" t="s">
        <v>6</v>
      </c>
      <c r="AT3">
        <v>110</v>
      </c>
      <c r="AU3" t="s">
        <v>6</v>
      </c>
      <c r="AV3">
        <v>0</v>
      </c>
      <c r="AW3">
        <v>1</v>
      </c>
      <c r="AX3">
        <v>-1</v>
      </c>
      <c r="AY3">
        <v>0</v>
      </c>
      <c r="AZ3">
        <v>0</v>
      </c>
      <c r="BA3" t="s">
        <v>6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Y3*Source!I33</f>
        <v>23.759999999999998</v>
      </c>
      <c r="CY3">
        <f>AA3</f>
        <v>104.99</v>
      </c>
      <c r="CZ3">
        <f>AE3</f>
        <v>104.99</v>
      </c>
      <c r="DA3">
        <f>AI3</f>
        <v>1</v>
      </c>
      <c r="DB3">
        <f t="shared" si="0"/>
        <v>11548.9</v>
      </c>
      <c r="DC3">
        <f t="shared" si="1"/>
        <v>0</v>
      </c>
    </row>
    <row r="4" spans="1:107" x14ac:dyDescent="0.2">
      <c r="A4">
        <f>ROW(Source!A33)</f>
        <v>33</v>
      </c>
      <c r="B4">
        <v>44175489</v>
      </c>
      <c r="C4">
        <v>44171224</v>
      </c>
      <c r="D4">
        <v>0</v>
      </c>
      <c r="E4">
        <v>1</v>
      </c>
      <c r="F4">
        <v>1</v>
      </c>
      <c r="G4">
        <v>34959076</v>
      </c>
      <c r="H4">
        <v>3</v>
      </c>
      <c r="I4" t="s">
        <v>41</v>
      </c>
      <c r="J4" t="s">
        <v>227</v>
      </c>
      <c r="K4" t="s">
        <v>228</v>
      </c>
      <c r="L4">
        <v>1339</v>
      </c>
      <c r="N4">
        <v>1007</v>
      </c>
      <c r="O4" t="s">
        <v>43</v>
      </c>
      <c r="P4" t="s">
        <v>43</v>
      </c>
      <c r="Q4">
        <v>1</v>
      </c>
      <c r="W4">
        <v>0</v>
      </c>
      <c r="X4">
        <v>-419971176</v>
      </c>
      <c r="Y4">
        <v>110</v>
      </c>
      <c r="AA4">
        <v>104.99</v>
      </c>
      <c r="AB4">
        <v>0</v>
      </c>
      <c r="AC4">
        <v>0</v>
      </c>
      <c r="AD4">
        <v>0</v>
      </c>
      <c r="AE4">
        <v>104.99</v>
      </c>
      <c r="AF4">
        <v>0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N4">
        <v>0</v>
      </c>
      <c r="AO4">
        <v>0</v>
      </c>
      <c r="AP4">
        <v>0</v>
      </c>
      <c r="AQ4">
        <v>0</v>
      </c>
      <c r="AR4">
        <v>0</v>
      </c>
      <c r="AS4" t="s">
        <v>6</v>
      </c>
      <c r="AT4">
        <v>110</v>
      </c>
      <c r="AU4" t="s">
        <v>6</v>
      </c>
      <c r="AV4">
        <v>0</v>
      </c>
      <c r="AW4">
        <v>1</v>
      </c>
      <c r="AX4">
        <v>-1</v>
      </c>
      <c r="AY4">
        <v>0</v>
      </c>
      <c r="AZ4">
        <v>0</v>
      </c>
      <c r="BA4" t="s">
        <v>6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Y4*Source!I33</f>
        <v>23.759999999999998</v>
      </c>
      <c r="CY4">
        <f>AA4</f>
        <v>104.99</v>
      </c>
      <c r="CZ4">
        <f>AE4</f>
        <v>104.99</v>
      </c>
      <c r="DA4">
        <f>AI4</f>
        <v>1</v>
      </c>
      <c r="DB4">
        <f t="shared" si="0"/>
        <v>11548.9</v>
      </c>
      <c r="DC4">
        <f t="shared" si="1"/>
        <v>0</v>
      </c>
    </row>
    <row r="5" spans="1:107" x14ac:dyDescent="0.2">
      <c r="A5">
        <f>ROW(Source!A35)</f>
        <v>35</v>
      </c>
      <c r="B5">
        <v>44175489</v>
      </c>
      <c r="C5">
        <v>44171231</v>
      </c>
      <c r="D5">
        <v>34984826</v>
      </c>
      <c r="E5">
        <v>34959076</v>
      </c>
      <c r="F5">
        <v>1</v>
      </c>
      <c r="G5">
        <v>34959076</v>
      </c>
      <c r="H5">
        <v>1</v>
      </c>
      <c r="I5" t="s">
        <v>224</v>
      </c>
      <c r="J5" t="s">
        <v>6</v>
      </c>
      <c r="K5" t="s">
        <v>225</v>
      </c>
      <c r="L5">
        <v>1191</v>
      </c>
      <c r="N5">
        <v>1013</v>
      </c>
      <c r="O5" t="s">
        <v>226</v>
      </c>
      <c r="P5" t="s">
        <v>226</v>
      </c>
      <c r="Q5">
        <v>1</v>
      </c>
      <c r="W5">
        <v>0</v>
      </c>
      <c r="X5">
        <v>476480486</v>
      </c>
      <c r="Y5">
        <v>83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0</v>
      </c>
      <c r="AQ5">
        <v>0</v>
      </c>
      <c r="AR5">
        <v>0</v>
      </c>
      <c r="AS5" t="s">
        <v>6</v>
      </c>
      <c r="AT5">
        <v>83</v>
      </c>
      <c r="AU5" t="s">
        <v>6</v>
      </c>
      <c r="AV5">
        <v>1</v>
      </c>
      <c r="AW5">
        <v>2</v>
      </c>
      <c r="AX5">
        <v>44171234</v>
      </c>
      <c r="AY5">
        <v>1</v>
      </c>
      <c r="AZ5">
        <v>0</v>
      </c>
      <c r="BA5">
        <v>3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Y5*Source!I35</f>
        <v>17.928000000000001</v>
      </c>
      <c r="CY5">
        <f>AD5</f>
        <v>0</v>
      </c>
      <c r="CZ5">
        <f>AH5</f>
        <v>0</v>
      </c>
      <c r="DA5">
        <f>AL5</f>
        <v>1</v>
      </c>
      <c r="DB5">
        <f t="shared" si="0"/>
        <v>0</v>
      </c>
      <c r="DC5">
        <f t="shared" si="1"/>
        <v>0</v>
      </c>
    </row>
    <row r="6" spans="1:107" x14ac:dyDescent="0.2">
      <c r="A6">
        <f>ROW(Source!A37)</f>
        <v>37</v>
      </c>
      <c r="B6">
        <v>44175489</v>
      </c>
      <c r="C6">
        <v>44171236</v>
      </c>
      <c r="D6">
        <v>34984826</v>
      </c>
      <c r="E6">
        <v>34959076</v>
      </c>
      <c r="F6">
        <v>1</v>
      </c>
      <c r="G6">
        <v>34959076</v>
      </c>
      <c r="H6">
        <v>1</v>
      </c>
      <c r="I6" t="s">
        <v>224</v>
      </c>
      <c r="J6" t="s">
        <v>6</v>
      </c>
      <c r="K6" t="s">
        <v>225</v>
      </c>
      <c r="L6">
        <v>1191</v>
      </c>
      <c r="N6">
        <v>1013</v>
      </c>
      <c r="O6" t="s">
        <v>226</v>
      </c>
      <c r="P6" t="s">
        <v>226</v>
      </c>
      <c r="Q6">
        <v>1</v>
      </c>
      <c r="W6">
        <v>0</v>
      </c>
      <c r="X6">
        <v>476480486</v>
      </c>
      <c r="Y6">
        <v>0.6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6</v>
      </c>
      <c r="AT6">
        <v>0.6</v>
      </c>
      <c r="AU6" t="s">
        <v>6</v>
      </c>
      <c r="AV6">
        <v>1</v>
      </c>
      <c r="AW6">
        <v>2</v>
      </c>
      <c r="AX6">
        <v>44171240</v>
      </c>
      <c r="AY6">
        <v>1</v>
      </c>
      <c r="AZ6">
        <v>0</v>
      </c>
      <c r="BA6">
        <v>4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Y6*Source!I37</f>
        <v>0.6</v>
      </c>
      <c r="CY6">
        <f>AD6</f>
        <v>0</v>
      </c>
      <c r="CZ6">
        <f>AH6</f>
        <v>0</v>
      </c>
      <c r="DA6">
        <f>AL6</f>
        <v>1</v>
      </c>
      <c r="DB6">
        <f t="shared" si="0"/>
        <v>0</v>
      </c>
      <c r="DC6">
        <f t="shared" si="1"/>
        <v>0</v>
      </c>
    </row>
    <row r="7" spans="1:107" x14ac:dyDescent="0.2">
      <c r="A7">
        <f>ROW(Source!A37)</f>
        <v>37</v>
      </c>
      <c r="B7">
        <v>44175489</v>
      </c>
      <c r="C7">
        <v>44171236</v>
      </c>
      <c r="D7">
        <v>38777804</v>
      </c>
      <c r="E7">
        <v>1</v>
      </c>
      <c r="F7">
        <v>1</v>
      </c>
      <c r="G7">
        <v>34959076</v>
      </c>
      <c r="H7">
        <v>2</v>
      </c>
      <c r="I7" t="s">
        <v>229</v>
      </c>
      <c r="J7" t="s">
        <v>230</v>
      </c>
      <c r="K7" t="s">
        <v>231</v>
      </c>
      <c r="L7">
        <v>1367</v>
      </c>
      <c r="N7">
        <v>1011</v>
      </c>
      <c r="O7" t="s">
        <v>232</v>
      </c>
      <c r="P7" t="s">
        <v>232</v>
      </c>
      <c r="Q7">
        <v>1</v>
      </c>
      <c r="W7">
        <v>0</v>
      </c>
      <c r="X7">
        <v>1357638705</v>
      </c>
      <c r="Y7">
        <v>0.6</v>
      </c>
      <c r="AA7">
        <v>0</v>
      </c>
      <c r="AB7">
        <v>12038.08</v>
      </c>
      <c r="AC7">
        <v>1669.55</v>
      </c>
      <c r="AD7">
        <v>0</v>
      </c>
      <c r="AE7">
        <v>0</v>
      </c>
      <c r="AF7">
        <v>1948.76</v>
      </c>
      <c r="AG7">
        <v>74.41</v>
      </c>
      <c r="AH7">
        <v>0</v>
      </c>
      <c r="AI7">
        <v>1</v>
      </c>
      <c r="AJ7">
        <v>5.9</v>
      </c>
      <c r="AK7">
        <v>21.43</v>
      </c>
      <c r="AL7">
        <v>1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6</v>
      </c>
      <c r="AT7">
        <v>0.6</v>
      </c>
      <c r="AU7" t="s">
        <v>6</v>
      </c>
      <c r="AV7">
        <v>0</v>
      </c>
      <c r="AW7">
        <v>2</v>
      </c>
      <c r="AX7">
        <v>44171241</v>
      </c>
      <c r="AY7">
        <v>1</v>
      </c>
      <c r="AZ7">
        <v>0</v>
      </c>
      <c r="BA7">
        <v>5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Y7*Source!I37</f>
        <v>0.6</v>
      </c>
      <c r="CY7">
        <f>AB7</f>
        <v>12038.08</v>
      </c>
      <c r="CZ7">
        <f>AF7</f>
        <v>1948.76</v>
      </c>
      <c r="DA7">
        <f>AJ7</f>
        <v>5.9</v>
      </c>
      <c r="DB7">
        <f t="shared" si="0"/>
        <v>1169.26</v>
      </c>
      <c r="DC7">
        <f t="shared" si="1"/>
        <v>44.65</v>
      </c>
    </row>
    <row r="8" spans="1:107" x14ac:dyDescent="0.2">
      <c r="A8">
        <f>ROW(Source!A37)</f>
        <v>37</v>
      </c>
      <c r="B8">
        <v>44175489</v>
      </c>
      <c r="C8">
        <v>44171236</v>
      </c>
      <c r="D8">
        <v>35065040</v>
      </c>
      <c r="E8">
        <v>1</v>
      </c>
      <c r="F8">
        <v>1</v>
      </c>
      <c r="G8">
        <v>34959076</v>
      </c>
      <c r="H8">
        <v>2</v>
      </c>
      <c r="I8" t="s">
        <v>233</v>
      </c>
      <c r="J8" t="s">
        <v>234</v>
      </c>
      <c r="K8" t="s">
        <v>235</v>
      </c>
      <c r="L8">
        <v>1367</v>
      </c>
      <c r="N8">
        <v>1011</v>
      </c>
      <c r="O8" t="s">
        <v>232</v>
      </c>
      <c r="P8" t="s">
        <v>232</v>
      </c>
      <c r="Q8">
        <v>1</v>
      </c>
      <c r="W8">
        <v>0</v>
      </c>
      <c r="X8">
        <v>776244494</v>
      </c>
      <c r="Y8">
        <v>0.57999999999999996</v>
      </c>
      <c r="AA8">
        <v>0</v>
      </c>
      <c r="AB8">
        <v>1198.1199999999999</v>
      </c>
      <c r="AC8">
        <v>540.29</v>
      </c>
      <c r="AD8">
        <v>0</v>
      </c>
      <c r="AE8">
        <v>0</v>
      </c>
      <c r="AF8">
        <v>117.73</v>
      </c>
      <c r="AG8">
        <v>24.08</v>
      </c>
      <c r="AH8">
        <v>0</v>
      </c>
      <c r="AI8">
        <v>1</v>
      </c>
      <c r="AJ8">
        <v>9.7200000000000006</v>
      </c>
      <c r="AK8">
        <v>21.43</v>
      </c>
      <c r="AL8">
        <v>1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6</v>
      </c>
      <c r="AT8">
        <v>0.57999999999999996</v>
      </c>
      <c r="AU8" t="s">
        <v>6</v>
      </c>
      <c r="AV8">
        <v>0</v>
      </c>
      <c r="AW8">
        <v>2</v>
      </c>
      <c r="AX8">
        <v>44171242</v>
      </c>
      <c r="AY8">
        <v>1</v>
      </c>
      <c r="AZ8">
        <v>0</v>
      </c>
      <c r="BA8">
        <v>6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Y8*Source!I37</f>
        <v>0.57999999999999996</v>
      </c>
      <c r="CY8">
        <f>AB8</f>
        <v>1198.1199999999999</v>
      </c>
      <c r="CZ8">
        <f>AF8</f>
        <v>117.73</v>
      </c>
      <c r="DA8">
        <f>AJ8</f>
        <v>9.7200000000000006</v>
      </c>
      <c r="DB8">
        <f t="shared" si="0"/>
        <v>68.28</v>
      </c>
      <c r="DC8">
        <f t="shared" si="1"/>
        <v>13.97</v>
      </c>
    </row>
    <row r="9" spans="1:107" x14ac:dyDescent="0.2">
      <c r="A9">
        <f>ROW(Source!A38)</f>
        <v>38</v>
      </c>
      <c r="B9">
        <v>44175489</v>
      </c>
      <c r="C9">
        <v>44171243</v>
      </c>
      <c r="D9">
        <v>34984826</v>
      </c>
      <c r="E9">
        <v>34959076</v>
      </c>
      <c r="F9">
        <v>1</v>
      </c>
      <c r="G9">
        <v>34959076</v>
      </c>
      <c r="H9">
        <v>1</v>
      </c>
      <c r="I9" t="s">
        <v>224</v>
      </c>
      <c r="J9" t="s">
        <v>6</v>
      </c>
      <c r="K9" t="s">
        <v>225</v>
      </c>
      <c r="L9">
        <v>1191</v>
      </c>
      <c r="N9">
        <v>1013</v>
      </c>
      <c r="O9" t="s">
        <v>226</v>
      </c>
      <c r="P9" t="s">
        <v>226</v>
      </c>
      <c r="Q9">
        <v>1</v>
      </c>
      <c r="W9">
        <v>0</v>
      </c>
      <c r="X9">
        <v>476480486</v>
      </c>
      <c r="Y9">
        <v>2.2200000000000002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6</v>
      </c>
      <c r="AT9">
        <v>2.2200000000000002</v>
      </c>
      <c r="AU9" t="s">
        <v>6</v>
      </c>
      <c r="AV9">
        <v>1</v>
      </c>
      <c r="AW9">
        <v>2</v>
      </c>
      <c r="AX9">
        <v>44171259</v>
      </c>
      <c r="AY9">
        <v>1</v>
      </c>
      <c r="AZ9">
        <v>0</v>
      </c>
      <c r="BA9">
        <v>7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Y9*Source!I38</f>
        <v>137.64000000000001</v>
      </c>
      <c r="CY9">
        <f>AD9</f>
        <v>0</v>
      </c>
      <c r="CZ9">
        <f>AH9</f>
        <v>0</v>
      </c>
      <c r="DA9">
        <f>AL9</f>
        <v>1</v>
      </c>
      <c r="DB9">
        <f t="shared" si="0"/>
        <v>0</v>
      </c>
      <c r="DC9">
        <f t="shared" si="1"/>
        <v>0</v>
      </c>
    </row>
    <row r="10" spans="1:107" x14ac:dyDescent="0.2">
      <c r="A10">
        <f>ROW(Source!A38)</f>
        <v>38</v>
      </c>
      <c r="B10">
        <v>44175489</v>
      </c>
      <c r="C10">
        <v>44171243</v>
      </c>
      <c r="D10">
        <v>35065139</v>
      </c>
      <c r="E10">
        <v>1</v>
      </c>
      <c r="F10">
        <v>1</v>
      </c>
      <c r="G10">
        <v>34959076</v>
      </c>
      <c r="H10">
        <v>2</v>
      </c>
      <c r="I10" t="s">
        <v>236</v>
      </c>
      <c r="J10" t="s">
        <v>237</v>
      </c>
      <c r="K10" t="s">
        <v>238</v>
      </c>
      <c r="L10">
        <v>1367</v>
      </c>
      <c r="N10">
        <v>1011</v>
      </c>
      <c r="O10" t="s">
        <v>232</v>
      </c>
      <c r="P10" t="s">
        <v>232</v>
      </c>
      <c r="Q10">
        <v>1</v>
      </c>
      <c r="W10">
        <v>0</v>
      </c>
      <c r="X10">
        <v>2037067470</v>
      </c>
      <c r="Y10">
        <v>0.21</v>
      </c>
      <c r="AA10">
        <v>0</v>
      </c>
      <c r="AB10">
        <v>427.9</v>
      </c>
      <c r="AC10">
        <v>336.56</v>
      </c>
      <c r="AD10">
        <v>0</v>
      </c>
      <c r="AE10">
        <v>0</v>
      </c>
      <c r="AF10">
        <v>50.27</v>
      </c>
      <c r="AG10">
        <v>15</v>
      </c>
      <c r="AH10">
        <v>0</v>
      </c>
      <c r="AI10">
        <v>1</v>
      </c>
      <c r="AJ10">
        <v>8.1300000000000008</v>
      </c>
      <c r="AK10">
        <v>21.43</v>
      </c>
      <c r="AL10">
        <v>1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6</v>
      </c>
      <c r="AT10">
        <v>0.21</v>
      </c>
      <c r="AU10" t="s">
        <v>6</v>
      </c>
      <c r="AV10">
        <v>0</v>
      </c>
      <c r="AW10">
        <v>2</v>
      </c>
      <c r="AX10">
        <v>44171260</v>
      </c>
      <c r="AY10">
        <v>1</v>
      </c>
      <c r="AZ10">
        <v>0</v>
      </c>
      <c r="BA10">
        <v>8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Y10*Source!I38</f>
        <v>13.02</v>
      </c>
      <c r="CY10">
        <f t="shared" ref="CY10:CY17" si="2">AB10</f>
        <v>427.9</v>
      </c>
      <c r="CZ10">
        <f t="shared" ref="CZ10:CZ17" si="3">AF10</f>
        <v>50.27</v>
      </c>
      <c r="DA10">
        <f t="shared" ref="DA10:DA17" si="4">AJ10</f>
        <v>8.1300000000000008</v>
      </c>
      <c r="DB10">
        <f t="shared" si="0"/>
        <v>10.56</v>
      </c>
      <c r="DC10">
        <f t="shared" si="1"/>
        <v>3.15</v>
      </c>
    </row>
    <row r="11" spans="1:107" x14ac:dyDescent="0.2">
      <c r="A11">
        <f>ROW(Source!A38)</f>
        <v>38</v>
      </c>
      <c r="B11">
        <v>44175489</v>
      </c>
      <c r="C11">
        <v>44171243</v>
      </c>
      <c r="D11">
        <v>38777804</v>
      </c>
      <c r="E11">
        <v>1</v>
      </c>
      <c r="F11">
        <v>1</v>
      </c>
      <c r="G11">
        <v>34959076</v>
      </c>
      <c r="H11">
        <v>2</v>
      </c>
      <c r="I11" t="s">
        <v>229</v>
      </c>
      <c r="J11" t="s">
        <v>230</v>
      </c>
      <c r="K11" t="s">
        <v>231</v>
      </c>
      <c r="L11">
        <v>1367</v>
      </c>
      <c r="N11">
        <v>1011</v>
      </c>
      <c r="O11" t="s">
        <v>232</v>
      </c>
      <c r="P11" t="s">
        <v>232</v>
      </c>
      <c r="Q11">
        <v>1</v>
      </c>
      <c r="W11">
        <v>0</v>
      </c>
      <c r="X11">
        <v>1357638705</v>
      </c>
      <c r="Y11">
        <v>0.92</v>
      </c>
      <c r="AA11">
        <v>0</v>
      </c>
      <c r="AB11">
        <v>12038.08</v>
      </c>
      <c r="AC11">
        <v>1669.55</v>
      </c>
      <c r="AD11">
        <v>0</v>
      </c>
      <c r="AE11">
        <v>0</v>
      </c>
      <c r="AF11">
        <v>1948.76</v>
      </c>
      <c r="AG11">
        <v>74.41</v>
      </c>
      <c r="AH11">
        <v>0</v>
      </c>
      <c r="AI11">
        <v>1</v>
      </c>
      <c r="AJ11">
        <v>5.9</v>
      </c>
      <c r="AK11">
        <v>21.43</v>
      </c>
      <c r="AL11">
        <v>1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6</v>
      </c>
      <c r="AT11">
        <v>0.92</v>
      </c>
      <c r="AU11" t="s">
        <v>6</v>
      </c>
      <c r="AV11">
        <v>0</v>
      </c>
      <c r="AW11">
        <v>2</v>
      </c>
      <c r="AX11">
        <v>44171261</v>
      </c>
      <c r="AY11">
        <v>1</v>
      </c>
      <c r="AZ11">
        <v>0</v>
      </c>
      <c r="BA11">
        <v>9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Y11*Source!I38</f>
        <v>57.04</v>
      </c>
      <c r="CY11">
        <f t="shared" si="2"/>
        <v>12038.08</v>
      </c>
      <c r="CZ11">
        <f t="shared" si="3"/>
        <v>1948.76</v>
      </c>
      <c r="DA11">
        <f t="shared" si="4"/>
        <v>5.9</v>
      </c>
      <c r="DB11">
        <f t="shared" si="0"/>
        <v>1792.86</v>
      </c>
      <c r="DC11">
        <f t="shared" si="1"/>
        <v>68.459999999999994</v>
      </c>
    </row>
    <row r="12" spans="1:107" x14ac:dyDescent="0.2">
      <c r="A12">
        <f>ROW(Source!A38)</f>
        <v>38</v>
      </c>
      <c r="B12">
        <v>44175489</v>
      </c>
      <c r="C12">
        <v>44171243</v>
      </c>
      <c r="D12">
        <v>35065321</v>
      </c>
      <c r="E12">
        <v>1</v>
      </c>
      <c r="F12">
        <v>1</v>
      </c>
      <c r="G12">
        <v>34959076</v>
      </c>
      <c r="H12">
        <v>2</v>
      </c>
      <c r="I12" t="s">
        <v>239</v>
      </c>
      <c r="J12" t="s">
        <v>240</v>
      </c>
      <c r="K12" t="s">
        <v>241</v>
      </c>
      <c r="L12">
        <v>1367</v>
      </c>
      <c r="N12">
        <v>1011</v>
      </c>
      <c r="O12" t="s">
        <v>232</v>
      </c>
      <c r="P12" t="s">
        <v>232</v>
      </c>
      <c r="Q12">
        <v>1</v>
      </c>
      <c r="W12">
        <v>0</v>
      </c>
      <c r="X12">
        <v>1313308123</v>
      </c>
      <c r="Y12">
        <v>0.16</v>
      </c>
      <c r="AA12">
        <v>0</v>
      </c>
      <c r="AB12">
        <v>2248.08</v>
      </c>
      <c r="AC12">
        <v>501.7</v>
      </c>
      <c r="AD12">
        <v>0</v>
      </c>
      <c r="AE12">
        <v>0</v>
      </c>
      <c r="AF12">
        <v>199.18</v>
      </c>
      <c r="AG12">
        <v>22.36</v>
      </c>
      <c r="AH12">
        <v>0</v>
      </c>
      <c r="AI12">
        <v>1</v>
      </c>
      <c r="AJ12">
        <v>10.78</v>
      </c>
      <c r="AK12">
        <v>21.43</v>
      </c>
      <c r="AL12">
        <v>1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6</v>
      </c>
      <c r="AT12">
        <v>0.16</v>
      </c>
      <c r="AU12" t="s">
        <v>6</v>
      </c>
      <c r="AV12">
        <v>0</v>
      </c>
      <c r="AW12">
        <v>2</v>
      </c>
      <c r="AX12">
        <v>44171262</v>
      </c>
      <c r="AY12">
        <v>1</v>
      </c>
      <c r="AZ12">
        <v>0</v>
      </c>
      <c r="BA12">
        <v>10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Y12*Source!I38</f>
        <v>9.92</v>
      </c>
      <c r="CY12">
        <f t="shared" si="2"/>
        <v>2248.08</v>
      </c>
      <c r="CZ12">
        <f t="shared" si="3"/>
        <v>199.18</v>
      </c>
      <c r="DA12">
        <f t="shared" si="4"/>
        <v>10.78</v>
      </c>
      <c r="DB12">
        <f t="shared" si="0"/>
        <v>31.87</v>
      </c>
      <c r="DC12">
        <f t="shared" si="1"/>
        <v>3.58</v>
      </c>
    </row>
    <row r="13" spans="1:107" x14ac:dyDescent="0.2">
      <c r="A13">
        <f>ROW(Source!A38)</f>
        <v>38</v>
      </c>
      <c r="B13">
        <v>44175489</v>
      </c>
      <c r="C13">
        <v>44171243</v>
      </c>
      <c r="D13">
        <v>35065468</v>
      </c>
      <c r="E13">
        <v>1</v>
      </c>
      <c r="F13">
        <v>1</v>
      </c>
      <c r="G13">
        <v>34959076</v>
      </c>
      <c r="H13">
        <v>2</v>
      </c>
      <c r="I13" t="s">
        <v>242</v>
      </c>
      <c r="J13" t="s">
        <v>243</v>
      </c>
      <c r="K13" t="s">
        <v>244</v>
      </c>
      <c r="L13">
        <v>1367</v>
      </c>
      <c r="N13">
        <v>1011</v>
      </c>
      <c r="O13" t="s">
        <v>232</v>
      </c>
      <c r="P13" t="s">
        <v>232</v>
      </c>
      <c r="Q13">
        <v>1</v>
      </c>
      <c r="W13">
        <v>0</v>
      </c>
      <c r="X13">
        <v>902205412</v>
      </c>
      <c r="Y13">
        <v>0.04</v>
      </c>
      <c r="AA13">
        <v>0</v>
      </c>
      <c r="AB13">
        <v>552.35</v>
      </c>
      <c r="AC13">
        <v>173.66</v>
      </c>
      <c r="AD13">
        <v>0</v>
      </c>
      <c r="AE13">
        <v>0</v>
      </c>
      <c r="AF13">
        <v>64.89</v>
      </c>
      <c r="AG13">
        <v>7.74</v>
      </c>
      <c r="AH13">
        <v>0</v>
      </c>
      <c r="AI13">
        <v>1</v>
      </c>
      <c r="AJ13">
        <v>8.1300000000000008</v>
      </c>
      <c r="AK13">
        <v>21.43</v>
      </c>
      <c r="AL13">
        <v>1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6</v>
      </c>
      <c r="AT13">
        <v>0.04</v>
      </c>
      <c r="AU13" t="s">
        <v>6</v>
      </c>
      <c r="AV13">
        <v>0</v>
      </c>
      <c r="AW13">
        <v>2</v>
      </c>
      <c r="AX13">
        <v>44171263</v>
      </c>
      <c r="AY13">
        <v>1</v>
      </c>
      <c r="AZ13">
        <v>0</v>
      </c>
      <c r="BA13">
        <v>11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Y13*Source!I38</f>
        <v>2.48</v>
      </c>
      <c r="CY13">
        <f t="shared" si="2"/>
        <v>552.35</v>
      </c>
      <c r="CZ13">
        <f t="shared" si="3"/>
        <v>64.89</v>
      </c>
      <c r="DA13">
        <f t="shared" si="4"/>
        <v>8.1300000000000008</v>
      </c>
      <c r="DB13">
        <f t="shared" si="0"/>
        <v>2.6</v>
      </c>
      <c r="DC13">
        <f t="shared" si="1"/>
        <v>0.31</v>
      </c>
    </row>
    <row r="14" spans="1:107" x14ac:dyDescent="0.2">
      <c r="A14">
        <f>ROW(Source!A38)</f>
        <v>38</v>
      </c>
      <c r="B14">
        <v>44175489</v>
      </c>
      <c r="C14">
        <v>44171243</v>
      </c>
      <c r="D14">
        <v>35064722</v>
      </c>
      <c r="E14">
        <v>1</v>
      </c>
      <c r="F14">
        <v>1</v>
      </c>
      <c r="G14">
        <v>34959076</v>
      </c>
      <c r="H14">
        <v>2</v>
      </c>
      <c r="I14" t="s">
        <v>245</v>
      </c>
      <c r="J14" t="s">
        <v>246</v>
      </c>
      <c r="K14" t="s">
        <v>247</v>
      </c>
      <c r="L14">
        <v>1367</v>
      </c>
      <c r="N14">
        <v>1011</v>
      </c>
      <c r="O14" t="s">
        <v>232</v>
      </c>
      <c r="P14" t="s">
        <v>232</v>
      </c>
      <c r="Q14">
        <v>1</v>
      </c>
      <c r="W14">
        <v>0</v>
      </c>
      <c r="X14">
        <v>2126829182</v>
      </c>
      <c r="Y14">
        <v>0.35</v>
      </c>
      <c r="AA14">
        <v>0</v>
      </c>
      <c r="AB14">
        <v>1828.67</v>
      </c>
      <c r="AC14">
        <v>801.01</v>
      </c>
      <c r="AD14">
        <v>0</v>
      </c>
      <c r="AE14">
        <v>0</v>
      </c>
      <c r="AF14">
        <v>177.86</v>
      </c>
      <c r="AG14">
        <v>35.700000000000003</v>
      </c>
      <c r="AH14">
        <v>0</v>
      </c>
      <c r="AI14">
        <v>1</v>
      </c>
      <c r="AJ14">
        <v>9.82</v>
      </c>
      <c r="AK14">
        <v>21.43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6</v>
      </c>
      <c r="AT14">
        <v>0.35</v>
      </c>
      <c r="AU14" t="s">
        <v>6</v>
      </c>
      <c r="AV14">
        <v>0</v>
      </c>
      <c r="AW14">
        <v>2</v>
      </c>
      <c r="AX14">
        <v>44171264</v>
      </c>
      <c r="AY14">
        <v>1</v>
      </c>
      <c r="AZ14">
        <v>0</v>
      </c>
      <c r="BA14">
        <v>12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Y14*Source!I38</f>
        <v>21.7</v>
      </c>
      <c r="CY14">
        <f t="shared" si="2"/>
        <v>1828.67</v>
      </c>
      <c r="CZ14">
        <f t="shared" si="3"/>
        <v>177.86</v>
      </c>
      <c r="DA14">
        <f t="shared" si="4"/>
        <v>9.82</v>
      </c>
      <c r="DB14">
        <f t="shared" si="0"/>
        <v>62.25</v>
      </c>
      <c r="DC14">
        <f t="shared" si="1"/>
        <v>12.5</v>
      </c>
    </row>
    <row r="15" spans="1:107" x14ac:dyDescent="0.2">
      <c r="A15">
        <f>ROW(Source!A38)</f>
        <v>38</v>
      </c>
      <c r="B15">
        <v>44175489</v>
      </c>
      <c r="C15">
        <v>44171243</v>
      </c>
      <c r="D15">
        <v>35064877</v>
      </c>
      <c r="E15">
        <v>1</v>
      </c>
      <c r="F15">
        <v>1</v>
      </c>
      <c r="G15">
        <v>34959076</v>
      </c>
      <c r="H15">
        <v>2</v>
      </c>
      <c r="I15" t="s">
        <v>248</v>
      </c>
      <c r="J15" t="s">
        <v>249</v>
      </c>
      <c r="K15" t="s">
        <v>250</v>
      </c>
      <c r="L15">
        <v>1367</v>
      </c>
      <c r="N15">
        <v>1011</v>
      </c>
      <c r="O15" t="s">
        <v>232</v>
      </c>
      <c r="P15" t="s">
        <v>232</v>
      </c>
      <c r="Q15">
        <v>1</v>
      </c>
      <c r="W15">
        <v>0</v>
      </c>
      <c r="X15">
        <v>1778166765</v>
      </c>
      <c r="Y15">
        <v>0.21</v>
      </c>
      <c r="AA15">
        <v>0</v>
      </c>
      <c r="AB15">
        <v>1084.98</v>
      </c>
      <c r="AC15">
        <v>641.92999999999995</v>
      </c>
      <c r="AD15">
        <v>0</v>
      </c>
      <c r="AE15">
        <v>0</v>
      </c>
      <c r="AF15">
        <v>148.88999999999999</v>
      </c>
      <c r="AG15">
        <v>28.61</v>
      </c>
      <c r="AH15">
        <v>0</v>
      </c>
      <c r="AI15">
        <v>1</v>
      </c>
      <c r="AJ15">
        <v>6.96</v>
      </c>
      <c r="AK15">
        <v>21.43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6</v>
      </c>
      <c r="AT15">
        <v>0.21</v>
      </c>
      <c r="AU15" t="s">
        <v>6</v>
      </c>
      <c r="AV15">
        <v>0</v>
      </c>
      <c r="AW15">
        <v>2</v>
      </c>
      <c r="AX15">
        <v>44171265</v>
      </c>
      <c r="AY15">
        <v>1</v>
      </c>
      <c r="AZ15">
        <v>0</v>
      </c>
      <c r="BA15">
        <v>13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Y15*Source!I38</f>
        <v>13.02</v>
      </c>
      <c r="CY15">
        <f t="shared" si="2"/>
        <v>1084.98</v>
      </c>
      <c r="CZ15">
        <f t="shared" si="3"/>
        <v>148.88999999999999</v>
      </c>
      <c r="DA15">
        <f t="shared" si="4"/>
        <v>6.96</v>
      </c>
      <c r="DB15">
        <f t="shared" si="0"/>
        <v>31.27</v>
      </c>
      <c r="DC15">
        <f t="shared" si="1"/>
        <v>6.01</v>
      </c>
    </row>
    <row r="16" spans="1:107" x14ac:dyDescent="0.2">
      <c r="A16">
        <f>ROW(Source!A38)</f>
        <v>38</v>
      </c>
      <c r="B16">
        <v>44175489</v>
      </c>
      <c r="C16">
        <v>44171243</v>
      </c>
      <c r="D16">
        <v>38777799</v>
      </c>
      <c r="E16">
        <v>1</v>
      </c>
      <c r="F16">
        <v>1</v>
      </c>
      <c r="G16">
        <v>34959076</v>
      </c>
      <c r="H16">
        <v>2</v>
      </c>
      <c r="I16" t="s">
        <v>251</v>
      </c>
      <c r="J16" t="s">
        <v>252</v>
      </c>
      <c r="K16" t="s">
        <v>253</v>
      </c>
      <c r="L16">
        <v>1367</v>
      </c>
      <c r="N16">
        <v>1011</v>
      </c>
      <c r="O16" t="s">
        <v>232</v>
      </c>
      <c r="P16" t="s">
        <v>232</v>
      </c>
      <c r="Q16">
        <v>1</v>
      </c>
      <c r="W16">
        <v>0</v>
      </c>
      <c r="X16">
        <v>-1506540917</v>
      </c>
      <c r="Y16">
        <v>0.92</v>
      </c>
      <c r="AA16">
        <v>0</v>
      </c>
      <c r="AB16">
        <v>783.69</v>
      </c>
      <c r="AC16">
        <v>420.47</v>
      </c>
      <c r="AD16">
        <v>0</v>
      </c>
      <c r="AE16">
        <v>0</v>
      </c>
      <c r="AF16">
        <v>80.14</v>
      </c>
      <c r="AG16">
        <v>18.739999999999998</v>
      </c>
      <c r="AH16">
        <v>0</v>
      </c>
      <c r="AI16">
        <v>1</v>
      </c>
      <c r="AJ16">
        <v>9.34</v>
      </c>
      <c r="AK16">
        <v>21.43</v>
      </c>
      <c r="AL16">
        <v>1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6</v>
      </c>
      <c r="AT16">
        <v>0.92</v>
      </c>
      <c r="AU16" t="s">
        <v>6</v>
      </c>
      <c r="AV16">
        <v>0</v>
      </c>
      <c r="AW16">
        <v>2</v>
      </c>
      <c r="AX16">
        <v>44171266</v>
      </c>
      <c r="AY16">
        <v>1</v>
      </c>
      <c r="AZ16">
        <v>0</v>
      </c>
      <c r="BA16">
        <v>14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Y16*Source!I38</f>
        <v>57.04</v>
      </c>
      <c r="CY16">
        <f t="shared" si="2"/>
        <v>783.69</v>
      </c>
      <c r="CZ16">
        <f t="shared" si="3"/>
        <v>80.14</v>
      </c>
      <c r="DA16">
        <f t="shared" si="4"/>
        <v>9.34</v>
      </c>
      <c r="DB16">
        <f t="shared" si="0"/>
        <v>73.73</v>
      </c>
      <c r="DC16">
        <f t="shared" si="1"/>
        <v>17.239999999999998</v>
      </c>
    </row>
    <row r="17" spans="1:107" x14ac:dyDescent="0.2">
      <c r="A17">
        <f>ROW(Source!A38)</f>
        <v>38</v>
      </c>
      <c r="B17">
        <v>44175489</v>
      </c>
      <c r="C17">
        <v>44171243</v>
      </c>
      <c r="D17">
        <v>34984824</v>
      </c>
      <c r="E17">
        <v>34959076</v>
      </c>
      <c r="F17">
        <v>1</v>
      </c>
      <c r="G17">
        <v>34959076</v>
      </c>
      <c r="H17">
        <v>2</v>
      </c>
      <c r="I17" t="s">
        <v>254</v>
      </c>
      <c r="J17" t="s">
        <v>6</v>
      </c>
      <c r="K17" t="s">
        <v>255</v>
      </c>
      <c r="L17">
        <v>1344</v>
      </c>
      <c r="N17">
        <v>1008</v>
      </c>
      <c r="O17" t="s">
        <v>256</v>
      </c>
      <c r="P17" t="s">
        <v>256</v>
      </c>
      <c r="Q17">
        <v>1</v>
      </c>
      <c r="W17">
        <v>0</v>
      </c>
      <c r="X17">
        <v>-1180195794</v>
      </c>
      <c r="Y17">
        <v>0.01</v>
      </c>
      <c r="AA17">
        <v>0</v>
      </c>
      <c r="AB17">
        <v>1.05</v>
      </c>
      <c r="AC17">
        <v>0</v>
      </c>
      <c r="AD17">
        <v>0</v>
      </c>
      <c r="AE17">
        <v>0</v>
      </c>
      <c r="AF17">
        <v>1</v>
      </c>
      <c r="AG17">
        <v>0</v>
      </c>
      <c r="AH17">
        <v>0</v>
      </c>
      <c r="AI17">
        <v>1</v>
      </c>
      <c r="AJ17">
        <v>1</v>
      </c>
      <c r="AK17">
        <v>1</v>
      </c>
      <c r="AL17">
        <v>1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6</v>
      </c>
      <c r="AT17">
        <v>0.01</v>
      </c>
      <c r="AU17" t="s">
        <v>6</v>
      </c>
      <c r="AV17">
        <v>0</v>
      </c>
      <c r="AW17">
        <v>2</v>
      </c>
      <c r="AX17">
        <v>44171267</v>
      </c>
      <c r="AY17">
        <v>1</v>
      </c>
      <c r="AZ17">
        <v>0</v>
      </c>
      <c r="BA17">
        <v>15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Y17*Source!I38</f>
        <v>0.62</v>
      </c>
      <c r="CY17">
        <f t="shared" si="2"/>
        <v>1.05</v>
      </c>
      <c r="CZ17">
        <f t="shared" si="3"/>
        <v>1</v>
      </c>
      <c r="DA17">
        <f t="shared" si="4"/>
        <v>1</v>
      </c>
      <c r="DB17">
        <f t="shared" si="0"/>
        <v>0.01</v>
      </c>
      <c r="DC17">
        <f t="shared" si="1"/>
        <v>0</v>
      </c>
    </row>
    <row r="18" spans="1:107" x14ac:dyDescent="0.2">
      <c r="A18">
        <f>ROW(Source!A38)</f>
        <v>38</v>
      </c>
      <c r="B18">
        <v>44175489</v>
      </c>
      <c r="C18">
        <v>44171243</v>
      </c>
      <c r="D18">
        <v>35043080</v>
      </c>
      <c r="E18">
        <v>1</v>
      </c>
      <c r="F18">
        <v>1</v>
      </c>
      <c r="G18">
        <v>34959076</v>
      </c>
      <c r="H18">
        <v>3</v>
      </c>
      <c r="I18" t="s">
        <v>257</v>
      </c>
      <c r="J18" t="s">
        <v>258</v>
      </c>
      <c r="K18" t="s">
        <v>259</v>
      </c>
      <c r="L18">
        <v>1348</v>
      </c>
      <c r="N18">
        <v>1009</v>
      </c>
      <c r="O18" t="s">
        <v>260</v>
      </c>
      <c r="P18" t="s">
        <v>260</v>
      </c>
      <c r="Q18">
        <v>1000</v>
      </c>
      <c r="W18">
        <v>0</v>
      </c>
      <c r="X18">
        <v>1678700400</v>
      </c>
      <c r="Y18">
        <v>2.3014699999999999E-3</v>
      </c>
      <c r="AA18">
        <v>21697.05</v>
      </c>
      <c r="AB18">
        <v>0</v>
      </c>
      <c r="AC18">
        <v>0</v>
      </c>
      <c r="AD18">
        <v>0</v>
      </c>
      <c r="AE18">
        <v>5778.3</v>
      </c>
      <c r="AF18">
        <v>0</v>
      </c>
      <c r="AG18">
        <v>0</v>
      </c>
      <c r="AH18">
        <v>0</v>
      </c>
      <c r="AI18">
        <v>3.48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6</v>
      </c>
      <c r="AT18">
        <v>2.3014699999999999E-3</v>
      </c>
      <c r="AU18" t="s">
        <v>6</v>
      </c>
      <c r="AV18">
        <v>0</v>
      </c>
      <c r="AW18">
        <v>2</v>
      </c>
      <c r="AX18">
        <v>44171268</v>
      </c>
      <c r="AY18">
        <v>1</v>
      </c>
      <c r="AZ18">
        <v>0</v>
      </c>
      <c r="BA18">
        <v>16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Y18*Source!I38</f>
        <v>0.14269113999999999</v>
      </c>
      <c r="CY18">
        <f t="shared" ref="CY18:CY23" si="5">AA18</f>
        <v>21697.05</v>
      </c>
      <c r="CZ18">
        <f t="shared" ref="CZ18:CZ23" si="6">AE18</f>
        <v>5778.3</v>
      </c>
      <c r="DA18">
        <f t="shared" ref="DA18:DA23" si="7">AI18</f>
        <v>3.48</v>
      </c>
      <c r="DB18">
        <f t="shared" si="0"/>
        <v>13.3</v>
      </c>
      <c r="DC18">
        <f t="shared" si="1"/>
        <v>0</v>
      </c>
    </row>
    <row r="19" spans="1:107" x14ac:dyDescent="0.2">
      <c r="A19">
        <f>ROW(Source!A38)</f>
        <v>38</v>
      </c>
      <c r="B19">
        <v>44175489</v>
      </c>
      <c r="C19">
        <v>44171243</v>
      </c>
      <c r="D19">
        <v>35043897</v>
      </c>
      <c r="E19">
        <v>1</v>
      </c>
      <c r="F19">
        <v>1</v>
      </c>
      <c r="G19">
        <v>34959076</v>
      </c>
      <c r="H19">
        <v>3</v>
      </c>
      <c r="I19" t="s">
        <v>261</v>
      </c>
      <c r="J19" t="s">
        <v>262</v>
      </c>
      <c r="K19" t="s">
        <v>263</v>
      </c>
      <c r="L19">
        <v>1339</v>
      </c>
      <c r="N19">
        <v>1007</v>
      </c>
      <c r="O19" t="s">
        <v>43</v>
      </c>
      <c r="P19" t="s">
        <v>43</v>
      </c>
      <c r="Q19">
        <v>1</v>
      </c>
      <c r="W19">
        <v>0</v>
      </c>
      <c r="X19">
        <v>-862991314</v>
      </c>
      <c r="Y19">
        <v>3.15</v>
      </c>
      <c r="AA19">
        <v>34.79</v>
      </c>
      <c r="AB19">
        <v>0</v>
      </c>
      <c r="AC19">
        <v>0</v>
      </c>
      <c r="AD19">
        <v>0</v>
      </c>
      <c r="AE19">
        <v>7.07</v>
      </c>
      <c r="AF19">
        <v>0</v>
      </c>
      <c r="AG19">
        <v>0</v>
      </c>
      <c r="AH19">
        <v>0</v>
      </c>
      <c r="AI19">
        <v>4.5599999999999996</v>
      </c>
      <c r="AJ19">
        <v>1</v>
      </c>
      <c r="AK19">
        <v>1</v>
      </c>
      <c r="AL19">
        <v>1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6</v>
      </c>
      <c r="AT19">
        <v>3.15</v>
      </c>
      <c r="AU19" t="s">
        <v>6</v>
      </c>
      <c r="AV19">
        <v>0</v>
      </c>
      <c r="AW19">
        <v>2</v>
      </c>
      <c r="AX19">
        <v>44171269</v>
      </c>
      <c r="AY19">
        <v>1</v>
      </c>
      <c r="AZ19">
        <v>0</v>
      </c>
      <c r="BA19">
        <v>17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Y19*Source!I38</f>
        <v>195.29999999999998</v>
      </c>
      <c r="CY19">
        <f t="shared" si="5"/>
        <v>34.79</v>
      </c>
      <c r="CZ19">
        <f t="shared" si="6"/>
        <v>7.07</v>
      </c>
      <c r="DA19">
        <f t="shared" si="7"/>
        <v>4.5599999999999996</v>
      </c>
      <c r="DB19">
        <f t="shared" si="0"/>
        <v>22.27</v>
      </c>
      <c r="DC19">
        <f t="shared" si="1"/>
        <v>0</v>
      </c>
    </row>
    <row r="20" spans="1:107" x14ac:dyDescent="0.2">
      <c r="A20">
        <f>ROW(Source!A38)</f>
        <v>38</v>
      </c>
      <c r="B20">
        <v>44175489</v>
      </c>
      <c r="C20">
        <v>44171243</v>
      </c>
      <c r="D20">
        <v>35042352</v>
      </c>
      <c r="E20">
        <v>1</v>
      </c>
      <c r="F20">
        <v>1</v>
      </c>
      <c r="G20">
        <v>34959076</v>
      </c>
      <c r="H20">
        <v>3</v>
      </c>
      <c r="I20" t="s">
        <v>71</v>
      </c>
      <c r="J20" t="s">
        <v>74</v>
      </c>
      <c r="K20" t="s">
        <v>72</v>
      </c>
      <c r="L20">
        <v>1346</v>
      </c>
      <c r="N20">
        <v>1009</v>
      </c>
      <c r="O20" t="s">
        <v>73</v>
      </c>
      <c r="P20" t="s">
        <v>73</v>
      </c>
      <c r="Q20">
        <v>1</v>
      </c>
      <c r="W20">
        <v>0</v>
      </c>
      <c r="X20">
        <v>185995085</v>
      </c>
      <c r="Y20">
        <v>179.2</v>
      </c>
      <c r="AA20">
        <v>49.01</v>
      </c>
      <c r="AB20">
        <v>0</v>
      </c>
      <c r="AC20">
        <v>0</v>
      </c>
      <c r="AD20">
        <v>0</v>
      </c>
      <c r="AE20">
        <v>11.3</v>
      </c>
      <c r="AF20">
        <v>0</v>
      </c>
      <c r="AG20">
        <v>0</v>
      </c>
      <c r="AH20">
        <v>0</v>
      </c>
      <c r="AI20">
        <v>4.0199999999999996</v>
      </c>
      <c r="AJ20">
        <v>1</v>
      </c>
      <c r="AK20">
        <v>1</v>
      </c>
      <c r="AL20">
        <v>1</v>
      </c>
      <c r="AN20">
        <v>0</v>
      </c>
      <c r="AO20">
        <v>0</v>
      </c>
      <c r="AP20">
        <v>0</v>
      </c>
      <c r="AQ20">
        <v>0</v>
      </c>
      <c r="AR20">
        <v>0</v>
      </c>
      <c r="AS20" t="s">
        <v>6</v>
      </c>
      <c r="AT20">
        <v>179.2</v>
      </c>
      <c r="AU20" t="s">
        <v>6</v>
      </c>
      <c r="AV20">
        <v>0</v>
      </c>
      <c r="AW20">
        <v>1</v>
      </c>
      <c r="AX20">
        <v>-1</v>
      </c>
      <c r="AY20">
        <v>0</v>
      </c>
      <c r="AZ20">
        <v>0</v>
      </c>
      <c r="BA20" t="s">
        <v>6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Y20*Source!I38</f>
        <v>11110.4</v>
      </c>
      <c r="CY20">
        <f t="shared" si="5"/>
        <v>49.01</v>
      </c>
      <c r="CZ20">
        <f t="shared" si="6"/>
        <v>11.3</v>
      </c>
      <c r="DA20">
        <f t="shared" si="7"/>
        <v>4.0199999999999996</v>
      </c>
      <c r="DB20">
        <f t="shared" si="0"/>
        <v>2024.96</v>
      </c>
      <c r="DC20">
        <f t="shared" si="1"/>
        <v>0</v>
      </c>
    </row>
    <row r="21" spans="1:107" x14ac:dyDescent="0.2">
      <c r="A21">
        <f>ROW(Source!A38)</f>
        <v>38</v>
      </c>
      <c r="B21">
        <v>44175489</v>
      </c>
      <c r="C21">
        <v>44171243</v>
      </c>
      <c r="D21">
        <v>35041443</v>
      </c>
      <c r="E21">
        <v>1</v>
      </c>
      <c r="F21">
        <v>1</v>
      </c>
      <c r="G21">
        <v>34959076</v>
      </c>
      <c r="H21">
        <v>3</v>
      </c>
      <c r="I21" t="s">
        <v>264</v>
      </c>
      <c r="J21" t="s">
        <v>265</v>
      </c>
      <c r="K21" t="s">
        <v>266</v>
      </c>
      <c r="L21">
        <v>1346</v>
      </c>
      <c r="N21">
        <v>1009</v>
      </c>
      <c r="O21" t="s">
        <v>73</v>
      </c>
      <c r="P21" t="s">
        <v>73</v>
      </c>
      <c r="Q21">
        <v>1</v>
      </c>
      <c r="W21">
        <v>0</v>
      </c>
      <c r="X21">
        <v>-754417250</v>
      </c>
      <c r="Y21">
        <v>4.6699999999999998E-2</v>
      </c>
      <c r="AA21">
        <v>49.56</v>
      </c>
      <c r="AB21">
        <v>0</v>
      </c>
      <c r="AC21">
        <v>0</v>
      </c>
      <c r="AD21">
        <v>0</v>
      </c>
      <c r="AE21">
        <v>7.48</v>
      </c>
      <c r="AF21">
        <v>0</v>
      </c>
      <c r="AG21">
        <v>0</v>
      </c>
      <c r="AH21">
        <v>0</v>
      </c>
      <c r="AI21">
        <v>6.14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0</v>
      </c>
      <c r="AQ21">
        <v>0</v>
      </c>
      <c r="AR21">
        <v>0</v>
      </c>
      <c r="AS21" t="s">
        <v>6</v>
      </c>
      <c r="AT21">
        <v>4.6699999999999998E-2</v>
      </c>
      <c r="AU21" t="s">
        <v>6</v>
      </c>
      <c r="AV21">
        <v>0</v>
      </c>
      <c r="AW21">
        <v>2</v>
      </c>
      <c r="AX21">
        <v>44171270</v>
      </c>
      <c r="AY21">
        <v>1</v>
      </c>
      <c r="AZ21">
        <v>0</v>
      </c>
      <c r="BA21">
        <v>18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Y21*Source!I38</f>
        <v>2.8954</v>
      </c>
      <c r="CY21">
        <f t="shared" si="5"/>
        <v>49.56</v>
      </c>
      <c r="CZ21">
        <f t="shared" si="6"/>
        <v>7.48</v>
      </c>
      <c r="DA21">
        <f t="shared" si="7"/>
        <v>6.14</v>
      </c>
      <c r="DB21">
        <f t="shared" si="0"/>
        <v>0.35</v>
      </c>
      <c r="DC21">
        <f t="shared" si="1"/>
        <v>0</v>
      </c>
    </row>
    <row r="22" spans="1:107" x14ac:dyDescent="0.2">
      <c r="A22">
        <f>ROW(Source!A38)</f>
        <v>38</v>
      </c>
      <c r="B22">
        <v>44175489</v>
      </c>
      <c r="C22">
        <v>44171243</v>
      </c>
      <c r="D22">
        <v>35041111</v>
      </c>
      <c r="E22">
        <v>1</v>
      </c>
      <c r="F22">
        <v>1</v>
      </c>
      <c r="G22">
        <v>34959076</v>
      </c>
      <c r="H22">
        <v>3</v>
      </c>
      <c r="I22" t="s">
        <v>81</v>
      </c>
      <c r="J22" t="s">
        <v>84</v>
      </c>
      <c r="K22" t="s">
        <v>82</v>
      </c>
      <c r="L22">
        <v>1296</v>
      </c>
      <c r="N22">
        <v>1002</v>
      </c>
      <c r="O22" t="s">
        <v>83</v>
      </c>
      <c r="P22" t="s">
        <v>83</v>
      </c>
      <c r="Q22">
        <v>1</v>
      </c>
      <c r="W22">
        <v>0</v>
      </c>
      <c r="X22">
        <v>-360054125</v>
      </c>
      <c r="Y22">
        <v>9.8176000000000005</v>
      </c>
      <c r="AA22">
        <v>482.62</v>
      </c>
      <c r="AB22">
        <v>0</v>
      </c>
      <c r="AC22">
        <v>0</v>
      </c>
      <c r="AD22">
        <v>0</v>
      </c>
      <c r="AE22">
        <v>95.37</v>
      </c>
      <c r="AF22">
        <v>0</v>
      </c>
      <c r="AG22">
        <v>0</v>
      </c>
      <c r="AH22">
        <v>0</v>
      </c>
      <c r="AI22">
        <v>4.6900000000000004</v>
      </c>
      <c r="AJ22">
        <v>1</v>
      </c>
      <c r="AK22">
        <v>1</v>
      </c>
      <c r="AL22">
        <v>1</v>
      </c>
      <c r="AN22">
        <v>0</v>
      </c>
      <c r="AO22">
        <v>0</v>
      </c>
      <c r="AP22">
        <v>0</v>
      </c>
      <c r="AQ22">
        <v>0</v>
      </c>
      <c r="AR22">
        <v>0</v>
      </c>
      <c r="AS22" t="s">
        <v>6</v>
      </c>
      <c r="AT22">
        <v>9.8176000000000005</v>
      </c>
      <c r="AU22" t="s">
        <v>6</v>
      </c>
      <c r="AV22">
        <v>0</v>
      </c>
      <c r="AW22">
        <v>1</v>
      </c>
      <c r="AX22">
        <v>-1</v>
      </c>
      <c r="AY22">
        <v>0</v>
      </c>
      <c r="AZ22">
        <v>0</v>
      </c>
      <c r="BA22" t="s">
        <v>6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Y22*Source!I38</f>
        <v>608.69119999999998</v>
      </c>
      <c r="CY22">
        <f t="shared" si="5"/>
        <v>482.62</v>
      </c>
      <c r="CZ22">
        <f t="shared" si="6"/>
        <v>95.37</v>
      </c>
      <c r="DA22">
        <f t="shared" si="7"/>
        <v>4.6900000000000004</v>
      </c>
      <c r="DB22">
        <f t="shared" si="0"/>
        <v>936.3</v>
      </c>
      <c r="DC22">
        <f t="shared" si="1"/>
        <v>0</v>
      </c>
    </row>
    <row r="23" spans="1:107" x14ac:dyDescent="0.2">
      <c r="A23">
        <f>ROW(Source!A38)</f>
        <v>38</v>
      </c>
      <c r="B23">
        <v>44175489</v>
      </c>
      <c r="C23">
        <v>44171243</v>
      </c>
      <c r="D23">
        <v>35046588</v>
      </c>
      <c r="E23">
        <v>1</v>
      </c>
      <c r="F23">
        <v>1</v>
      </c>
      <c r="G23">
        <v>34959076</v>
      </c>
      <c r="H23">
        <v>3</v>
      </c>
      <c r="I23" t="s">
        <v>76</v>
      </c>
      <c r="J23" t="s">
        <v>79</v>
      </c>
      <c r="K23" t="s">
        <v>77</v>
      </c>
      <c r="L23">
        <v>1301</v>
      </c>
      <c r="N23">
        <v>1003</v>
      </c>
      <c r="O23" t="s">
        <v>78</v>
      </c>
      <c r="P23" t="s">
        <v>78</v>
      </c>
      <c r="Q23">
        <v>1</v>
      </c>
      <c r="W23">
        <v>0</v>
      </c>
      <c r="X23">
        <v>-203233444</v>
      </c>
      <c r="Y23">
        <v>3.0967739999999999</v>
      </c>
      <c r="AA23">
        <v>2273.37</v>
      </c>
      <c r="AB23">
        <v>0</v>
      </c>
      <c r="AC23">
        <v>0</v>
      </c>
      <c r="AD23">
        <v>0</v>
      </c>
      <c r="AE23">
        <v>707.02</v>
      </c>
      <c r="AF23">
        <v>0</v>
      </c>
      <c r="AG23">
        <v>0</v>
      </c>
      <c r="AH23">
        <v>0</v>
      </c>
      <c r="AI23">
        <v>2.98</v>
      </c>
      <c r="AJ23">
        <v>1</v>
      </c>
      <c r="AK23">
        <v>1</v>
      </c>
      <c r="AL23">
        <v>1</v>
      </c>
      <c r="AN23">
        <v>0</v>
      </c>
      <c r="AO23">
        <v>0</v>
      </c>
      <c r="AP23">
        <v>0</v>
      </c>
      <c r="AQ23">
        <v>0</v>
      </c>
      <c r="AR23">
        <v>0</v>
      </c>
      <c r="AS23" t="s">
        <v>6</v>
      </c>
      <c r="AT23">
        <v>3.0967739999999999</v>
      </c>
      <c r="AU23" t="s">
        <v>6</v>
      </c>
      <c r="AV23">
        <v>0</v>
      </c>
      <c r="AW23">
        <v>1</v>
      </c>
      <c r="AX23">
        <v>-1</v>
      </c>
      <c r="AY23">
        <v>0</v>
      </c>
      <c r="AZ23">
        <v>0</v>
      </c>
      <c r="BA23" t="s">
        <v>6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Y23*Source!I38</f>
        <v>191.999988</v>
      </c>
      <c r="CY23">
        <f t="shared" si="5"/>
        <v>2273.37</v>
      </c>
      <c r="CZ23">
        <f t="shared" si="6"/>
        <v>707.02</v>
      </c>
      <c r="DA23">
        <f t="shared" si="7"/>
        <v>2.98</v>
      </c>
      <c r="DB23">
        <f t="shared" si="0"/>
        <v>2189.48</v>
      </c>
      <c r="DC23">
        <f t="shared" si="1"/>
        <v>0</v>
      </c>
    </row>
    <row r="24" spans="1:107" x14ac:dyDescent="0.2">
      <c r="A24">
        <f>ROW(Source!A42)</f>
        <v>42</v>
      </c>
      <c r="B24">
        <v>44175489</v>
      </c>
      <c r="C24">
        <v>44171277</v>
      </c>
      <c r="D24">
        <v>35065183</v>
      </c>
      <c r="E24">
        <v>1</v>
      </c>
      <c r="F24">
        <v>1</v>
      </c>
      <c r="G24">
        <v>34959076</v>
      </c>
      <c r="H24">
        <v>2</v>
      </c>
      <c r="I24" t="s">
        <v>267</v>
      </c>
      <c r="J24" t="s">
        <v>268</v>
      </c>
      <c r="K24" t="s">
        <v>269</v>
      </c>
      <c r="L24">
        <v>1367</v>
      </c>
      <c r="N24">
        <v>1011</v>
      </c>
      <c r="O24" t="s">
        <v>232</v>
      </c>
      <c r="P24" t="s">
        <v>232</v>
      </c>
      <c r="Q24">
        <v>1</v>
      </c>
      <c r="W24">
        <v>0</v>
      </c>
      <c r="X24">
        <v>2118325711</v>
      </c>
      <c r="Y24">
        <v>1.82</v>
      </c>
      <c r="AA24">
        <v>0</v>
      </c>
      <c r="AB24">
        <v>35.71</v>
      </c>
      <c r="AC24">
        <v>7.32</v>
      </c>
      <c r="AD24">
        <v>0</v>
      </c>
      <c r="AE24">
        <v>0</v>
      </c>
      <c r="AF24">
        <v>14.12</v>
      </c>
      <c r="AG24">
        <v>0.32</v>
      </c>
      <c r="AH24">
        <v>0</v>
      </c>
      <c r="AI24">
        <v>1</v>
      </c>
      <c r="AJ24">
        <v>2.37</v>
      </c>
      <c r="AK24">
        <v>21.43</v>
      </c>
      <c r="AL24">
        <v>1</v>
      </c>
      <c r="AN24">
        <v>0</v>
      </c>
      <c r="AO24">
        <v>1</v>
      </c>
      <c r="AP24">
        <v>0</v>
      </c>
      <c r="AQ24">
        <v>0</v>
      </c>
      <c r="AR24">
        <v>0</v>
      </c>
      <c r="AS24" t="s">
        <v>6</v>
      </c>
      <c r="AT24">
        <v>1.82</v>
      </c>
      <c r="AU24" t="s">
        <v>6</v>
      </c>
      <c r="AV24">
        <v>0</v>
      </c>
      <c r="AW24">
        <v>2</v>
      </c>
      <c r="AX24">
        <v>44171279</v>
      </c>
      <c r="AY24">
        <v>1</v>
      </c>
      <c r="AZ24">
        <v>0</v>
      </c>
      <c r="BA24">
        <v>22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Y24*Source!I42</f>
        <v>27.3</v>
      </c>
      <c r="CY24">
        <f>AB24</f>
        <v>35.71</v>
      </c>
      <c r="CZ24">
        <f>AF24</f>
        <v>14.12</v>
      </c>
      <c r="DA24">
        <f>AJ24</f>
        <v>2.37</v>
      </c>
      <c r="DB24">
        <f t="shared" si="0"/>
        <v>25.7</v>
      </c>
      <c r="DC24">
        <f t="shared" si="1"/>
        <v>0.57999999999999996</v>
      </c>
    </row>
    <row r="25" spans="1:107" x14ac:dyDescent="0.2">
      <c r="A25">
        <f>ROW(Source!A43)</f>
        <v>43</v>
      </c>
      <c r="B25">
        <v>44175489</v>
      </c>
      <c r="C25">
        <v>44171280</v>
      </c>
      <c r="D25">
        <v>34984826</v>
      </c>
      <c r="E25">
        <v>34959076</v>
      </c>
      <c r="F25">
        <v>1</v>
      </c>
      <c r="G25">
        <v>34959076</v>
      </c>
      <c r="H25">
        <v>1</v>
      </c>
      <c r="I25" t="s">
        <v>224</v>
      </c>
      <c r="J25" t="s">
        <v>6</v>
      </c>
      <c r="K25" t="s">
        <v>225</v>
      </c>
      <c r="L25">
        <v>1191</v>
      </c>
      <c r="N25">
        <v>1013</v>
      </c>
      <c r="O25" t="s">
        <v>226</v>
      </c>
      <c r="P25" t="s">
        <v>226</v>
      </c>
      <c r="Q25">
        <v>1</v>
      </c>
      <c r="W25">
        <v>0</v>
      </c>
      <c r="X25">
        <v>476480486</v>
      </c>
      <c r="Y25">
        <v>0.26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6</v>
      </c>
      <c r="AT25">
        <v>0.26</v>
      </c>
      <c r="AU25" t="s">
        <v>6</v>
      </c>
      <c r="AV25">
        <v>1</v>
      </c>
      <c r="AW25">
        <v>2</v>
      </c>
      <c r="AX25">
        <v>44171283</v>
      </c>
      <c r="AY25">
        <v>1</v>
      </c>
      <c r="AZ25">
        <v>0</v>
      </c>
      <c r="BA25">
        <v>23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Y25*Source!I43</f>
        <v>0.26</v>
      </c>
      <c r="CY25">
        <f>AD25</f>
        <v>0</v>
      </c>
      <c r="CZ25">
        <f>AH25</f>
        <v>0</v>
      </c>
      <c r="DA25">
        <f>AL25</f>
        <v>1</v>
      </c>
      <c r="DB25">
        <f t="shared" si="0"/>
        <v>0</v>
      </c>
      <c r="DC25">
        <f t="shared" si="1"/>
        <v>0</v>
      </c>
    </row>
    <row r="26" spans="1:107" x14ac:dyDescent="0.2">
      <c r="A26">
        <f>ROW(Source!A43)</f>
        <v>43</v>
      </c>
      <c r="B26">
        <v>44175489</v>
      </c>
      <c r="C26">
        <v>44171280</v>
      </c>
      <c r="D26">
        <v>38777804</v>
      </c>
      <c r="E26">
        <v>1</v>
      </c>
      <c r="F26">
        <v>1</v>
      </c>
      <c r="G26">
        <v>34959076</v>
      </c>
      <c r="H26">
        <v>2</v>
      </c>
      <c r="I26" t="s">
        <v>229</v>
      </c>
      <c r="J26" t="s">
        <v>230</v>
      </c>
      <c r="K26" t="s">
        <v>231</v>
      </c>
      <c r="L26">
        <v>1367</v>
      </c>
      <c r="N26">
        <v>1011</v>
      </c>
      <c r="O26" t="s">
        <v>232</v>
      </c>
      <c r="P26" t="s">
        <v>232</v>
      </c>
      <c r="Q26">
        <v>1</v>
      </c>
      <c r="W26">
        <v>0</v>
      </c>
      <c r="X26">
        <v>1357638705</v>
      </c>
      <c r="Y26">
        <v>0.26</v>
      </c>
      <c r="AA26">
        <v>0</v>
      </c>
      <c r="AB26">
        <v>12038.08</v>
      </c>
      <c r="AC26">
        <v>1669.55</v>
      </c>
      <c r="AD26">
        <v>0</v>
      </c>
      <c r="AE26">
        <v>0</v>
      </c>
      <c r="AF26">
        <v>1948.76</v>
      </c>
      <c r="AG26">
        <v>74.41</v>
      </c>
      <c r="AH26">
        <v>0</v>
      </c>
      <c r="AI26">
        <v>1</v>
      </c>
      <c r="AJ26">
        <v>5.9</v>
      </c>
      <c r="AK26">
        <v>21.43</v>
      </c>
      <c r="AL26">
        <v>1</v>
      </c>
      <c r="AN26">
        <v>0</v>
      </c>
      <c r="AO26">
        <v>1</v>
      </c>
      <c r="AP26">
        <v>0</v>
      </c>
      <c r="AQ26">
        <v>0</v>
      </c>
      <c r="AR26">
        <v>0</v>
      </c>
      <c r="AS26" t="s">
        <v>6</v>
      </c>
      <c r="AT26">
        <v>0.26</v>
      </c>
      <c r="AU26" t="s">
        <v>6</v>
      </c>
      <c r="AV26">
        <v>0</v>
      </c>
      <c r="AW26">
        <v>2</v>
      </c>
      <c r="AX26">
        <v>44171284</v>
      </c>
      <c r="AY26">
        <v>1</v>
      </c>
      <c r="AZ26">
        <v>0</v>
      </c>
      <c r="BA26">
        <v>24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Y26*Source!I43</f>
        <v>0.26</v>
      </c>
      <c r="CY26">
        <f>AB26</f>
        <v>12038.08</v>
      </c>
      <c r="CZ26">
        <f>AF26</f>
        <v>1948.76</v>
      </c>
      <c r="DA26">
        <f>AJ26</f>
        <v>5.9</v>
      </c>
      <c r="DB26">
        <f t="shared" si="0"/>
        <v>506.68</v>
      </c>
      <c r="DC26">
        <f t="shared" si="1"/>
        <v>19.350000000000001</v>
      </c>
    </row>
    <row r="27" spans="1:107" x14ac:dyDescent="0.2">
      <c r="A27">
        <f>ROW(Source!A45)</f>
        <v>45</v>
      </c>
      <c r="B27">
        <v>44175489</v>
      </c>
      <c r="C27">
        <v>44171286</v>
      </c>
      <c r="D27">
        <v>34984826</v>
      </c>
      <c r="E27">
        <v>34959076</v>
      </c>
      <c r="F27">
        <v>1</v>
      </c>
      <c r="G27">
        <v>34959076</v>
      </c>
      <c r="H27">
        <v>1</v>
      </c>
      <c r="I27" t="s">
        <v>224</v>
      </c>
      <c r="J27" t="s">
        <v>6</v>
      </c>
      <c r="K27" t="s">
        <v>225</v>
      </c>
      <c r="L27">
        <v>1191</v>
      </c>
      <c r="N27">
        <v>1013</v>
      </c>
      <c r="O27" t="s">
        <v>226</v>
      </c>
      <c r="P27" t="s">
        <v>226</v>
      </c>
      <c r="Q27">
        <v>1</v>
      </c>
      <c r="W27">
        <v>0</v>
      </c>
      <c r="X27">
        <v>476480486</v>
      </c>
      <c r="Y27">
        <v>0.6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0</v>
      </c>
      <c r="AQ27">
        <v>0</v>
      </c>
      <c r="AR27">
        <v>0</v>
      </c>
      <c r="AS27" t="s">
        <v>6</v>
      </c>
      <c r="AT27">
        <v>0.6</v>
      </c>
      <c r="AU27" t="s">
        <v>6</v>
      </c>
      <c r="AV27">
        <v>1</v>
      </c>
      <c r="AW27">
        <v>2</v>
      </c>
      <c r="AX27">
        <v>44171290</v>
      </c>
      <c r="AY27">
        <v>1</v>
      </c>
      <c r="AZ27">
        <v>0</v>
      </c>
      <c r="BA27">
        <v>25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Y27*Source!I45</f>
        <v>0.6</v>
      </c>
      <c r="CY27">
        <f>AD27</f>
        <v>0</v>
      </c>
      <c r="CZ27">
        <f>AH27</f>
        <v>0</v>
      </c>
      <c r="DA27">
        <f>AL27</f>
        <v>1</v>
      </c>
      <c r="DB27">
        <f t="shared" si="0"/>
        <v>0</v>
      </c>
      <c r="DC27">
        <f t="shared" si="1"/>
        <v>0</v>
      </c>
    </row>
    <row r="28" spans="1:107" x14ac:dyDescent="0.2">
      <c r="A28">
        <f>ROW(Source!A45)</f>
        <v>45</v>
      </c>
      <c r="B28">
        <v>44175489</v>
      </c>
      <c r="C28">
        <v>44171286</v>
      </c>
      <c r="D28">
        <v>38777804</v>
      </c>
      <c r="E28">
        <v>1</v>
      </c>
      <c r="F28">
        <v>1</v>
      </c>
      <c r="G28">
        <v>34959076</v>
      </c>
      <c r="H28">
        <v>2</v>
      </c>
      <c r="I28" t="s">
        <v>229</v>
      </c>
      <c r="J28" t="s">
        <v>230</v>
      </c>
      <c r="K28" t="s">
        <v>231</v>
      </c>
      <c r="L28">
        <v>1367</v>
      </c>
      <c r="N28">
        <v>1011</v>
      </c>
      <c r="O28" t="s">
        <v>232</v>
      </c>
      <c r="P28" t="s">
        <v>232</v>
      </c>
      <c r="Q28">
        <v>1</v>
      </c>
      <c r="W28">
        <v>0</v>
      </c>
      <c r="X28">
        <v>1357638705</v>
      </c>
      <c r="Y28">
        <v>0.6</v>
      </c>
      <c r="AA28">
        <v>0</v>
      </c>
      <c r="AB28">
        <v>12038.08</v>
      </c>
      <c r="AC28">
        <v>1669.55</v>
      </c>
      <c r="AD28">
        <v>0</v>
      </c>
      <c r="AE28">
        <v>0</v>
      </c>
      <c r="AF28">
        <v>1948.76</v>
      </c>
      <c r="AG28">
        <v>74.41</v>
      </c>
      <c r="AH28">
        <v>0</v>
      </c>
      <c r="AI28">
        <v>1</v>
      </c>
      <c r="AJ28">
        <v>5.9</v>
      </c>
      <c r="AK28">
        <v>21.43</v>
      </c>
      <c r="AL28">
        <v>1</v>
      </c>
      <c r="AN28">
        <v>0</v>
      </c>
      <c r="AO28">
        <v>1</v>
      </c>
      <c r="AP28">
        <v>0</v>
      </c>
      <c r="AQ28">
        <v>0</v>
      </c>
      <c r="AR28">
        <v>0</v>
      </c>
      <c r="AS28" t="s">
        <v>6</v>
      </c>
      <c r="AT28">
        <v>0.6</v>
      </c>
      <c r="AU28" t="s">
        <v>6</v>
      </c>
      <c r="AV28">
        <v>0</v>
      </c>
      <c r="AW28">
        <v>2</v>
      </c>
      <c r="AX28">
        <v>44171291</v>
      </c>
      <c r="AY28">
        <v>1</v>
      </c>
      <c r="AZ28">
        <v>0</v>
      </c>
      <c r="BA28">
        <v>26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Y28*Source!I45</f>
        <v>0.6</v>
      </c>
      <c r="CY28">
        <f>AB28</f>
        <v>12038.08</v>
      </c>
      <c r="CZ28">
        <f>AF28</f>
        <v>1948.76</v>
      </c>
      <c r="DA28">
        <f>AJ28</f>
        <v>5.9</v>
      </c>
      <c r="DB28">
        <f t="shared" si="0"/>
        <v>1169.26</v>
      </c>
      <c r="DC28">
        <f t="shared" si="1"/>
        <v>44.65</v>
      </c>
    </row>
    <row r="29" spans="1:107" x14ac:dyDescent="0.2">
      <c r="A29">
        <f>ROW(Source!A45)</f>
        <v>45</v>
      </c>
      <c r="B29">
        <v>44175489</v>
      </c>
      <c r="C29">
        <v>44171286</v>
      </c>
      <c r="D29">
        <v>35065040</v>
      </c>
      <c r="E29">
        <v>1</v>
      </c>
      <c r="F29">
        <v>1</v>
      </c>
      <c r="G29">
        <v>34959076</v>
      </c>
      <c r="H29">
        <v>2</v>
      </c>
      <c r="I29" t="s">
        <v>233</v>
      </c>
      <c r="J29" t="s">
        <v>234</v>
      </c>
      <c r="K29" t="s">
        <v>235</v>
      </c>
      <c r="L29">
        <v>1367</v>
      </c>
      <c r="N29">
        <v>1011</v>
      </c>
      <c r="O29" t="s">
        <v>232</v>
      </c>
      <c r="P29" t="s">
        <v>232</v>
      </c>
      <c r="Q29">
        <v>1</v>
      </c>
      <c r="W29">
        <v>0</v>
      </c>
      <c r="X29">
        <v>776244494</v>
      </c>
      <c r="Y29">
        <v>0.57999999999999996</v>
      </c>
      <c r="AA29">
        <v>0</v>
      </c>
      <c r="AB29">
        <v>1198.1199999999999</v>
      </c>
      <c r="AC29">
        <v>540.29</v>
      </c>
      <c r="AD29">
        <v>0</v>
      </c>
      <c r="AE29">
        <v>0</v>
      </c>
      <c r="AF29">
        <v>117.73</v>
      </c>
      <c r="AG29">
        <v>24.08</v>
      </c>
      <c r="AH29">
        <v>0</v>
      </c>
      <c r="AI29">
        <v>1</v>
      </c>
      <c r="AJ29">
        <v>9.7200000000000006</v>
      </c>
      <c r="AK29">
        <v>21.43</v>
      </c>
      <c r="AL29">
        <v>1</v>
      </c>
      <c r="AN29">
        <v>0</v>
      </c>
      <c r="AO29">
        <v>1</v>
      </c>
      <c r="AP29">
        <v>0</v>
      </c>
      <c r="AQ29">
        <v>0</v>
      </c>
      <c r="AR29">
        <v>0</v>
      </c>
      <c r="AS29" t="s">
        <v>6</v>
      </c>
      <c r="AT29">
        <v>0.57999999999999996</v>
      </c>
      <c r="AU29" t="s">
        <v>6</v>
      </c>
      <c r="AV29">
        <v>0</v>
      </c>
      <c r="AW29">
        <v>2</v>
      </c>
      <c r="AX29">
        <v>44171292</v>
      </c>
      <c r="AY29">
        <v>1</v>
      </c>
      <c r="AZ29">
        <v>0</v>
      </c>
      <c r="BA29">
        <v>27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Y29*Source!I45</f>
        <v>0.57999999999999996</v>
      </c>
      <c r="CY29">
        <f>AB29</f>
        <v>1198.1199999999999</v>
      </c>
      <c r="CZ29">
        <f>AF29</f>
        <v>117.73</v>
      </c>
      <c r="DA29">
        <f>AJ29</f>
        <v>9.7200000000000006</v>
      </c>
      <c r="DB29">
        <f t="shared" si="0"/>
        <v>68.28</v>
      </c>
      <c r="DC29">
        <f t="shared" si="1"/>
        <v>13.97</v>
      </c>
    </row>
    <row r="30" spans="1:107" x14ac:dyDescent="0.2">
      <c r="A30">
        <f>ROW(Source!A46)</f>
        <v>46</v>
      </c>
      <c r="B30">
        <v>44175489</v>
      </c>
      <c r="C30">
        <v>44171293</v>
      </c>
      <c r="D30">
        <v>34984826</v>
      </c>
      <c r="E30">
        <v>34959076</v>
      </c>
      <c r="F30">
        <v>1</v>
      </c>
      <c r="G30">
        <v>34959076</v>
      </c>
      <c r="H30">
        <v>1</v>
      </c>
      <c r="I30" t="s">
        <v>224</v>
      </c>
      <c r="J30" t="s">
        <v>6</v>
      </c>
      <c r="K30" t="s">
        <v>225</v>
      </c>
      <c r="L30">
        <v>1191</v>
      </c>
      <c r="N30">
        <v>1013</v>
      </c>
      <c r="O30" t="s">
        <v>226</v>
      </c>
      <c r="P30" t="s">
        <v>226</v>
      </c>
      <c r="Q30">
        <v>1</v>
      </c>
      <c r="W30">
        <v>0</v>
      </c>
      <c r="X30">
        <v>476480486</v>
      </c>
      <c r="Y30">
        <v>2.2200000000000002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0</v>
      </c>
      <c r="AQ30">
        <v>0</v>
      </c>
      <c r="AR30">
        <v>0</v>
      </c>
      <c r="AS30" t="s">
        <v>6</v>
      </c>
      <c r="AT30">
        <v>2.2200000000000002</v>
      </c>
      <c r="AU30" t="s">
        <v>6</v>
      </c>
      <c r="AV30">
        <v>1</v>
      </c>
      <c r="AW30">
        <v>2</v>
      </c>
      <c r="AX30">
        <v>44171309</v>
      </c>
      <c r="AY30">
        <v>1</v>
      </c>
      <c r="AZ30">
        <v>0</v>
      </c>
      <c r="BA30">
        <v>28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Y30*Source!I46</f>
        <v>68.820000000000007</v>
      </c>
      <c r="CY30">
        <f>AD30</f>
        <v>0</v>
      </c>
      <c r="CZ30">
        <f>AH30</f>
        <v>0</v>
      </c>
      <c r="DA30">
        <f>AL30</f>
        <v>1</v>
      </c>
      <c r="DB30">
        <f t="shared" si="0"/>
        <v>0</v>
      </c>
      <c r="DC30">
        <f t="shared" si="1"/>
        <v>0</v>
      </c>
    </row>
    <row r="31" spans="1:107" x14ac:dyDescent="0.2">
      <c r="A31">
        <f>ROW(Source!A46)</f>
        <v>46</v>
      </c>
      <c r="B31">
        <v>44175489</v>
      </c>
      <c r="C31">
        <v>44171293</v>
      </c>
      <c r="D31">
        <v>35065139</v>
      </c>
      <c r="E31">
        <v>1</v>
      </c>
      <c r="F31">
        <v>1</v>
      </c>
      <c r="G31">
        <v>34959076</v>
      </c>
      <c r="H31">
        <v>2</v>
      </c>
      <c r="I31" t="s">
        <v>236</v>
      </c>
      <c r="J31" t="s">
        <v>237</v>
      </c>
      <c r="K31" t="s">
        <v>238</v>
      </c>
      <c r="L31">
        <v>1367</v>
      </c>
      <c r="N31">
        <v>1011</v>
      </c>
      <c r="O31" t="s">
        <v>232</v>
      </c>
      <c r="P31" t="s">
        <v>232</v>
      </c>
      <c r="Q31">
        <v>1</v>
      </c>
      <c r="W31">
        <v>0</v>
      </c>
      <c r="X31">
        <v>2037067470</v>
      </c>
      <c r="Y31">
        <v>0.21</v>
      </c>
      <c r="AA31">
        <v>0</v>
      </c>
      <c r="AB31">
        <v>427.9</v>
      </c>
      <c r="AC31">
        <v>336.56</v>
      </c>
      <c r="AD31">
        <v>0</v>
      </c>
      <c r="AE31">
        <v>0</v>
      </c>
      <c r="AF31">
        <v>50.27</v>
      </c>
      <c r="AG31">
        <v>15</v>
      </c>
      <c r="AH31">
        <v>0</v>
      </c>
      <c r="AI31">
        <v>1</v>
      </c>
      <c r="AJ31">
        <v>8.1300000000000008</v>
      </c>
      <c r="AK31">
        <v>21.43</v>
      </c>
      <c r="AL31">
        <v>1</v>
      </c>
      <c r="AN31">
        <v>0</v>
      </c>
      <c r="AO31">
        <v>1</v>
      </c>
      <c r="AP31">
        <v>0</v>
      </c>
      <c r="AQ31">
        <v>0</v>
      </c>
      <c r="AR31">
        <v>0</v>
      </c>
      <c r="AS31" t="s">
        <v>6</v>
      </c>
      <c r="AT31">
        <v>0.21</v>
      </c>
      <c r="AU31" t="s">
        <v>6</v>
      </c>
      <c r="AV31">
        <v>0</v>
      </c>
      <c r="AW31">
        <v>2</v>
      </c>
      <c r="AX31">
        <v>44171310</v>
      </c>
      <c r="AY31">
        <v>1</v>
      </c>
      <c r="AZ31">
        <v>0</v>
      </c>
      <c r="BA31">
        <v>29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Y31*Source!I46</f>
        <v>6.51</v>
      </c>
      <c r="CY31">
        <f t="shared" ref="CY31:CY38" si="8">AB31</f>
        <v>427.9</v>
      </c>
      <c r="CZ31">
        <f t="shared" ref="CZ31:CZ38" si="9">AF31</f>
        <v>50.27</v>
      </c>
      <c r="DA31">
        <f t="shared" ref="DA31:DA38" si="10">AJ31</f>
        <v>8.1300000000000008</v>
      </c>
      <c r="DB31">
        <f t="shared" si="0"/>
        <v>10.56</v>
      </c>
      <c r="DC31">
        <f t="shared" si="1"/>
        <v>3.15</v>
      </c>
    </row>
    <row r="32" spans="1:107" x14ac:dyDescent="0.2">
      <c r="A32">
        <f>ROW(Source!A46)</f>
        <v>46</v>
      </c>
      <c r="B32">
        <v>44175489</v>
      </c>
      <c r="C32">
        <v>44171293</v>
      </c>
      <c r="D32">
        <v>38777804</v>
      </c>
      <c r="E32">
        <v>1</v>
      </c>
      <c r="F32">
        <v>1</v>
      </c>
      <c r="G32">
        <v>34959076</v>
      </c>
      <c r="H32">
        <v>2</v>
      </c>
      <c r="I32" t="s">
        <v>229</v>
      </c>
      <c r="J32" t="s">
        <v>230</v>
      </c>
      <c r="K32" t="s">
        <v>231</v>
      </c>
      <c r="L32">
        <v>1367</v>
      </c>
      <c r="N32">
        <v>1011</v>
      </c>
      <c r="O32" t="s">
        <v>232</v>
      </c>
      <c r="P32" t="s">
        <v>232</v>
      </c>
      <c r="Q32">
        <v>1</v>
      </c>
      <c r="W32">
        <v>0</v>
      </c>
      <c r="X32">
        <v>1357638705</v>
      </c>
      <c r="Y32">
        <v>0.92</v>
      </c>
      <c r="AA32">
        <v>0</v>
      </c>
      <c r="AB32">
        <v>12038.08</v>
      </c>
      <c r="AC32">
        <v>1669.55</v>
      </c>
      <c r="AD32">
        <v>0</v>
      </c>
      <c r="AE32">
        <v>0</v>
      </c>
      <c r="AF32">
        <v>1948.76</v>
      </c>
      <c r="AG32">
        <v>74.41</v>
      </c>
      <c r="AH32">
        <v>0</v>
      </c>
      <c r="AI32">
        <v>1</v>
      </c>
      <c r="AJ32">
        <v>5.9</v>
      </c>
      <c r="AK32">
        <v>21.43</v>
      </c>
      <c r="AL32">
        <v>1</v>
      </c>
      <c r="AN32">
        <v>0</v>
      </c>
      <c r="AO32">
        <v>1</v>
      </c>
      <c r="AP32">
        <v>0</v>
      </c>
      <c r="AQ32">
        <v>0</v>
      </c>
      <c r="AR32">
        <v>0</v>
      </c>
      <c r="AS32" t="s">
        <v>6</v>
      </c>
      <c r="AT32">
        <v>0.92</v>
      </c>
      <c r="AU32" t="s">
        <v>6</v>
      </c>
      <c r="AV32">
        <v>0</v>
      </c>
      <c r="AW32">
        <v>2</v>
      </c>
      <c r="AX32">
        <v>44171311</v>
      </c>
      <c r="AY32">
        <v>1</v>
      </c>
      <c r="AZ32">
        <v>0</v>
      </c>
      <c r="BA32">
        <v>30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Y32*Source!I46</f>
        <v>28.52</v>
      </c>
      <c r="CY32">
        <f t="shared" si="8"/>
        <v>12038.08</v>
      </c>
      <c r="CZ32">
        <f t="shared" si="9"/>
        <v>1948.76</v>
      </c>
      <c r="DA32">
        <f t="shared" si="10"/>
        <v>5.9</v>
      </c>
      <c r="DB32">
        <f t="shared" si="0"/>
        <v>1792.86</v>
      </c>
      <c r="DC32">
        <f t="shared" si="1"/>
        <v>68.459999999999994</v>
      </c>
    </row>
    <row r="33" spans="1:107" x14ac:dyDescent="0.2">
      <c r="A33">
        <f>ROW(Source!A46)</f>
        <v>46</v>
      </c>
      <c r="B33">
        <v>44175489</v>
      </c>
      <c r="C33">
        <v>44171293</v>
      </c>
      <c r="D33">
        <v>35065321</v>
      </c>
      <c r="E33">
        <v>1</v>
      </c>
      <c r="F33">
        <v>1</v>
      </c>
      <c r="G33">
        <v>34959076</v>
      </c>
      <c r="H33">
        <v>2</v>
      </c>
      <c r="I33" t="s">
        <v>239</v>
      </c>
      <c r="J33" t="s">
        <v>240</v>
      </c>
      <c r="K33" t="s">
        <v>241</v>
      </c>
      <c r="L33">
        <v>1367</v>
      </c>
      <c r="N33">
        <v>1011</v>
      </c>
      <c r="O33" t="s">
        <v>232</v>
      </c>
      <c r="P33" t="s">
        <v>232</v>
      </c>
      <c r="Q33">
        <v>1</v>
      </c>
      <c r="W33">
        <v>0</v>
      </c>
      <c r="X33">
        <v>1313308123</v>
      </c>
      <c r="Y33">
        <v>0.16</v>
      </c>
      <c r="AA33">
        <v>0</v>
      </c>
      <c r="AB33">
        <v>2248.08</v>
      </c>
      <c r="AC33">
        <v>501.7</v>
      </c>
      <c r="AD33">
        <v>0</v>
      </c>
      <c r="AE33">
        <v>0</v>
      </c>
      <c r="AF33">
        <v>199.18</v>
      </c>
      <c r="AG33">
        <v>22.36</v>
      </c>
      <c r="AH33">
        <v>0</v>
      </c>
      <c r="AI33">
        <v>1</v>
      </c>
      <c r="AJ33">
        <v>10.78</v>
      </c>
      <c r="AK33">
        <v>21.43</v>
      </c>
      <c r="AL33">
        <v>1</v>
      </c>
      <c r="AN33">
        <v>0</v>
      </c>
      <c r="AO33">
        <v>1</v>
      </c>
      <c r="AP33">
        <v>0</v>
      </c>
      <c r="AQ33">
        <v>0</v>
      </c>
      <c r="AR33">
        <v>0</v>
      </c>
      <c r="AS33" t="s">
        <v>6</v>
      </c>
      <c r="AT33">
        <v>0.16</v>
      </c>
      <c r="AU33" t="s">
        <v>6</v>
      </c>
      <c r="AV33">
        <v>0</v>
      </c>
      <c r="AW33">
        <v>2</v>
      </c>
      <c r="AX33">
        <v>44171312</v>
      </c>
      <c r="AY33">
        <v>1</v>
      </c>
      <c r="AZ33">
        <v>0</v>
      </c>
      <c r="BA33">
        <v>31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Y33*Source!I46</f>
        <v>4.96</v>
      </c>
      <c r="CY33">
        <f t="shared" si="8"/>
        <v>2248.08</v>
      </c>
      <c r="CZ33">
        <f t="shared" si="9"/>
        <v>199.18</v>
      </c>
      <c r="DA33">
        <f t="shared" si="10"/>
        <v>10.78</v>
      </c>
      <c r="DB33">
        <f t="shared" ref="DB33:DB64" si="11">ROUND(ROUND(AT33*CZ33,2),6)</f>
        <v>31.87</v>
      </c>
      <c r="DC33">
        <f t="shared" ref="DC33:DC64" si="12">ROUND(ROUND(AT33*AG33,2),6)</f>
        <v>3.58</v>
      </c>
    </row>
    <row r="34" spans="1:107" x14ac:dyDescent="0.2">
      <c r="A34">
        <f>ROW(Source!A46)</f>
        <v>46</v>
      </c>
      <c r="B34">
        <v>44175489</v>
      </c>
      <c r="C34">
        <v>44171293</v>
      </c>
      <c r="D34">
        <v>35065468</v>
      </c>
      <c r="E34">
        <v>1</v>
      </c>
      <c r="F34">
        <v>1</v>
      </c>
      <c r="G34">
        <v>34959076</v>
      </c>
      <c r="H34">
        <v>2</v>
      </c>
      <c r="I34" t="s">
        <v>242</v>
      </c>
      <c r="J34" t="s">
        <v>243</v>
      </c>
      <c r="K34" t="s">
        <v>244</v>
      </c>
      <c r="L34">
        <v>1367</v>
      </c>
      <c r="N34">
        <v>1011</v>
      </c>
      <c r="O34" t="s">
        <v>232</v>
      </c>
      <c r="P34" t="s">
        <v>232</v>
      </c>
      <c r="Q34">
        <v>1</v>
      </c>
      <c r="W34">
        <v>0</v>
      </c>
      <c r="X34">
        <v>902205412</v>
      </c>
      <c r="Y34">
        <v>0.04</v>
      </c>
      <c r="AA34">
        <v>0</v>
      </c>
      <c r="AB34">
        <v>552.35</v>
      </c>
      <c r="AC34">
        <v>173.66</v>
      </c>
      <c r="AD34">
        <v>0</v>
      </c>
      <c r="AE34">
        <v>0</v>
      </c>
      <c r="AF34">
        <v>64.89</v>
      </c>
      <c r="AG34">
        <v>7.74</v>
      </c>
      <c r="AH34">
        <v>0</v>
      </c>
      <c r="AI34">
        <v>1</v>
      </c>
      <c r="AJ34">
        <v>8.1300000000000008</v>
      </c>
      <c r="AK34">
        <v>21.43</v>
      </c>
      <c r="AL34">
        <v>1</v>
      </c>
      <c r="AN34">
        <v>0</v>
      </c>
      <c r="AO34">
        <v>1</v>
      </c>
      <c r="AP34">
        <v>0</v>
      </c>
      <c r="AQ34">
        <v>0</v>
      </c>
      <c r="AR34">
        <v>0</v>
      </c>
      <c r="AS34" t="s">
        <v>6</v>
      </c>
      <c r="AT34">
        <v>0.04</v>
      </c>
      <c r="AU34" t="s">
        <v>6</v>
      </c>
      <c r="AV34">
        <v>0</v>
      </c>
      <c r="AW34">
        <v>2</v>
      </c>
      <c r="AX34">
        <v>44171313</v>
      </c>
      <c r="AY34">
        <v>1</v>
      </c>
      <c r="AZ34">
        <v>0</v>
      </c>
      <c r="BA34">
        <v>32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Y34*Source!I46</f>
        <v>1.24</v>
      </c>
      <c r="CY34">
        <f t="shared" si="8"/>
        <v>552.35</v>
      </c>
      <c r="CZ34">
        <f t="shared" si="9"/>
        <v>64.89</v>
      </c>
      <c r="DA34">
        <f t="shared" si="10"/>
        <v>8.1300000000000008</v>
      </c>
      <c r="DB34">
        <f t="shared" si="11"/>
        <v>2.6</v>
      </c>
      <c r="DC34">
        <f t="shared" si="12"/>
        <v>0.31</v>
      </c>
    </row>
    <row r="35" spans="1:107" x14ac:dyDescent="0.2">
      <c r="A35">
        <f>ROW(Source!A46)</f>
        <v>46</v>
      </c>
      <c r="B35">
        <v>44175489</v>
      </c>
      <c r="C35">
        <v>44171293</v>
      </c>
      <c r="D35">
        <v>35064722</v>
      </c>
      <c r="E35">
        <v>1</v>
      </c>
      <c r="F35">
        <v>1</v>
      </c>
      <c r="G35">
        <v>34959076</v>
      </c>
      <c r="H35">
        <v>2</v>
      </c>
      <c r="I35" t="s">
        <v>245</v>
      </c>
      <c r="J35" t="s">
        <v>246</v>
      </c>
      <c r="K35" t="s">
        <v>247</v>
      </c>
      <c r="L35">
        <v>1367</v>
      </c>
      <c r="N35">
        <v>1011</v>
      </c>
      <c r="O35" t="s">
        <v>232</v>
      </c>
      <c r="P35" t="s">
        <v>232</v>
      </c>
      <c r="Q35">
        <v>1</v>
      </c>
      <c r="W35">
        <v>0</v>
      </c>
      <c r="X35">
        <v>2126829182</v>
      </c>
      <c r="Y35">
        <v>0.35</v>
      </c>
      <c r="AA35">
        <v>0</v>
      </c>
      <c r="AB35">
        <v>1828.67</v>
      </c>
      <c r="AC35">
        <v>801.01</v>
      </c>
      <c r="AD35">
        <v>0</v>
      </c>
      <c r="AE35">
        <v>0</v>
      </c>
      <c r="AF35">
        <v>177.86</v>
      </c>
      <c r="AG35">
        <v>35.700000000000003</v>
      </c>
      <c r="AH35">
        <v>0</v>
      </c>
      <c r="AI35">
        <v>1</v>
      </c>
      <c r="AJ35">
        <v>9.82</v>
      </c>
      <c r="AK35">
        <v>21.43</v>
      </c>
      <c r="AL35">
        <v>1</v>
      </c>
      <c r="AN35">
        <v>0</v>
      </c>
      <c r="AO35">
        <v>1</v>
      </c>
      <c r="AP35">
        <v>0</v>
      </c>
      <c r="AQ35">
        <v>0</v>
      </c>
      <c r="AR35">
        <v>0</v>
      </c>
      <c r="AS35" t="s">
        <v>6</v>
      </c>
      <c r="AT35">
        <v>0.35</v>
      </c>
      <c r="AU35" t="s">
        <v>6</v>
      </c>
      <c r="AV35">
        <v>0</v>
      </c>
      <c r="AW35">
        <v>2</v>
      </c>
      <c r="AX35">
        <v>44171314</v>
      </c>
      <c r="AY35">
        <v>1</v>
      </c>
      <c r="AZ35">
        <v>0</v>
      </c>
      <c r="BA35">
        <v>33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Y35*Source!I46</f>
        <v>10.85</v>
      </c>
      <c r="CY35">
        <f t="shared" si="8"/>
        <v>1828.67</v>
      </c>
      <c r="CZ35">
        <f t="shared" si="9"/>
        <v>177.86</v>
      </c>
      <c r="DA35">
        <f t="shared" si="10"/>
        <v>9.82</v>
      </c>
      <c r="DB35">
        <f t="shared" si="11"/>
        <v>62.25</v>
      </c>
      <c r="DC35">
        <f t="shared" si="12"/>
        <v>12.5</v>
      </c>
    </row>
    <row r="36" spans="1:107" x14ac:dyDescent="0.2">
      <c r="A36">
        <f>ROW(Source!A46)</f>
        <v>46</v>
      </c>
      <c r="B36">
        <v>44175489</v>
      </c>
      <c r="C36">
        <v>44171293</v>
      </c>
      <c r="D36">
        <v>35064877</v>
      </c>
      <c r="E36">
        <v>1</v>
      </c>
      <c r="F36">
        <v>1</v>
      </c>
      <c r="G36">
        <v>34959076</v>
      </c>
      <c r="H36">
        <v>2</v>
      </c>
      <c r="I36" t="s">
        <v>248</v>
      </c>
      <c r="J36" t="s">
        <v>249</v>
      </c>
      <c r="K36" t="s">
        <v>250</v>
      </c>
      <c r="L36">
        <v>1367</v>
      </c>
      <c r="N36">
        <v>1011</v>
      </c>
      <c r="O36" t="s">
        <v>232</v>
      </c>
      <c r="P36" t="s">
        <v>232</v>
      </c>
      <c r="Q36">
        <v>1</v>
      </c>
      <c r="W36">
        <v>0</v>
      </c>
      <c r="X36">
        <v>1778166765</v>
      </c>
      <c r="Y36">
        <v>0.21</v>
      </c>
      <c r="AA36">
        <v>0</v>
      </c>
      <c r="AB36">
        <v>1084.98</v>
      </c>
      <c r="AC36">
        <v>641.92999999999995</v>
      </c>
      <c r="AD36">
        <v>0</v>
      </c>
      <c r="AE36">
        <v>0</v>
      </c>
      <c r="AF36">
        <v>148.88999999999999</v>
      </c>
      <c r="AG36">
        <v>28.61</v>
      </c>
      <c r="AH36">
        <v>0</v>
      </c>
      <c r="AI36">
        <v>1</v>
      </c>
      <c r="AJ36">
        <v>6.96</v>
      </c>
      <c r="AK36">
        <v>21.43</v>
      </c>
      <c r="AL36">
        <v>1</v>
      </c>
      <c r="AN36">
        <v>0</v>
      </c>
      <c r="AO36">
        <v>1</v>
      </c>
      <c r="AP36">
        <v>0</v>
      </c>
      <c r="AQ36">
        <v>0</v>
      </c>
      <c r="AR36">
        <v>0</v>
      </c>
      <c r="AS36" t="s">
        <v>6</v>
      </c>
      <c r="AT36">
        <v>0.21</v>
      </c>
      <c r="AU36" t="s">
        <v>6</v>
      </c>
      <c r="AV36">
        <v>0</v>
      </c>
      <c r="AW36">
        <v>2</v>
      </c>
      <c r="AX36">
        <v>44171315</v>
      </c>
      <c r="AY36">
        <v>1</v>
      </c>
      <c r="AZ36">
        <v>0</v>
      </c>
      <c r="BA36">
        <v>34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Y36*Source!I46</f>
        <v>6.51</v>
      </c>
      <c r="CY36">
        <f t="shared" si="8"/>
        <v>1084.98</v>
      </c>
      <c r="CZ36">
        <f t="shared" si="9"/>
        <v>148.88999999999999</v>
      </c>
      <c r="DA36">
        <f t="shared" si="10"/>
        <v>6.96</v>
      </c>
      <c r="DB36">
        <f t="shared" si="11"/>
        <v>31.27</v>
      </c>
      <c r="DC36">
        <f t="shared" si="12"/>
        <v>6.01</v>
      </c>
    </row>
    <row r="37" spans="1:107" x14ac:dyDescent="0.2">
      <c r="A37">
        <f>ROW(Source!A46)</f>
        <v>46</v>
      </c>
      <c r="B37">
        <v>44175489</v>
      </c>
      <c r="C37">
        <v>44171293</v>
      </c>
      <c r="D37">
        <v>38777799</v>
      </c>
      <c r="E37">
        <v>1</v>
      </c>
      <c r="F37">
        <v>1</v>
      </c>
      <c r="G37">
        <v>34959076</v>
      </c>
      <c r="H37">
        <v>2</v>
      </c>
      <c r="I37" t="s">
        <v>251</v>
      </c>
      <c r="J37" t="s">
        <v>252</v>
      </c>
      <c r="K37" t="s">
        <v>253</v>
      </c>
      <c r="L37">
        <v>1367</v>
      </c>
      <c r="N37">
        <v>1011</v>
      </c>
      <c r="O37" t="s">
        <v>232</v>
      </c>
      <c r="P37" t="s">
        <v>232</v>
      </c>
      <c r="Q37">
        <v>1</v>
      </c>
      <c r="W37">
        <v>0</v>
      </c>
      <c r="X37">
        <v>-1506540917</v>
      </c>
      <c r="Y37">
        <v>0.92</v>
      </c>
      <c r="AA37">
        <v>0</v>
      </c>
      <c r="AB37">
        <v>783.69</v>
      </c>
      <c r="AC37">
        <v>420.47</v>
      </c>
      <c r="AD37">
        <v>0</v>
      </c>
      <c r="AE37">
        <v>0</v>
      </c>
      <c r="AF37">
        <v>80.14</v>
      </c>
      <c r="AG37">
        <v>18.739999999999998</v>
      </c>
      <c r="AH37">
        <v>0</v>
      </c>
      <c r="AI37">
        <v>1</v>
      </c>
      <c r="AJ37">
        <v>9.34</v>
      </c>
      <c r="AK37">
        <v>21.43</v>
      </c>
      <c r="AL37">
        <v>1</v>
      </c>
      <c r="AN37">
        <v>0</v>
      </c>
      <c r="AO37">
        <v>1</v>
      </c>
      <c r="AP37">
        <v>0</v>
      </c>
      <c r="AQ37">
        <v>0</v>
      </c>
      <c r="AR37">
        <v>0</v>
      </c>
      <c r="AS37" t="s">
        <v>6</v>
      </c>
      <c r="AT37">
        <v>0.92</v>
      </c>
      <c r="AU37" t="s">
        <v>6</v>
      </c>
      <c r="AV37">
        <v>0</v>
      </c>
      <c r="AW37">
        <v>2</v>
      </c>
      <c r="AX37">
        <v>44171316</v>
      </c>
      <c r="AY37">
        <v>1</v>
      </c>
      <c r="AZ37">
        <v>0</v>
      </c>
      <c r="BA37">
        <v>35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Y37*Source!I46</f>
        <v>28.52</v>
      </c>
      <c r="CY37">
        <f t="shared" si="8"/>
        <v>783.69</v>
      </c>
      <c r="CZ37">
        <f t="shared" si="9"/>
        <v>80.14</v>
      </c>
      <c r="DA37">
        <f t="shared" si="10"/>
        <v>9.34</v>
      </c>
      <c r="DB37">
        <f t="shared" si="11"/>
        <v>73.73</v>
      </c>
      <c r="DC37">
        <f t="shared" si="12"/>
        <v>17.239999999999998</v>
      </c>
    </row>
    <row r="38" spans="1:107" x14ac:dyDescent="0.2">
      <c r="A38">
        <f>ROW(Source!A46)</f>
        <v>46</v>
      </c>
      <c r="B38">
        <v>44175489</v>
      </c>
      <c r="C38">
        <v>44171293</v>
      </c>
      <c r="D38">
        <v>34984824</v>
      </c>
      <c r="E38">
        <v>34959076</v>
      </c>
      <c r="F38">
        <v>1</v>
      </c>
      <c r="G38">
        <v>34959076</v>
      </c>
      <c r="H38">
        <v>2</v>
      </c>
      <c r="I38" t="s">
        <v>254</v>
      </c>
      <c r="J38" t="s">
        <v>6</v>
      </c>
      <c r="K38" t="s">
        <v>255</v>
      </c>
      <c r="L38">
        <v>1344</v>
      </c>
      <c r="N38">
        <v>1008</v>
      </c>
      <c r="O38" t="s">
        <v>256</v>
      </c>
      <c r="P38" t="s">
        <v>256</v>
      </c>
      <c r="Q38">
        <v>1</v>
      </c>
      <c r="W38">
        <v>0</v>
      </c>
      <c r="X38">
        <v>-1180195794</v>
      </c>
      <c r="Y38">
        <v>0.01</v>
      </c>
      <c r="AA38">
        <v>0</v>
      </c>
      <c r="AB38">
        <v>1.05</v>
      </c>
      <c r="AC38">
        <v>0</v>
      </c>
      <c r="AD38">
        <v>0</v>
      </c>
      <c r="AE38">
        <v>0</v>
      </c>
      <c r="AF38">
        <v>1</v>
      </c>
      <c r="AG38">
        <v>0</v>
      </c>
      <c r="AH38">
        <v>0</v>
      </c>
      <c r="AI38">
        <v>1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0</v>
      </c>
      <c r="AQ38">
        <v>0</v>
      </c>
      <c r="AR38">
        <v>0</v>
      </c>
      <c r="AS38" t="s">
        <v>6</v>
      </c>
      <c r="AT38">
        <v>0.01</v>
      </c>
      <c r="AU38" t="s">
        <v>6</v>
      </c>
      <c r="AV38">
        <v>0</v>
      </c>
      <c r="AW38">
        <v>2</v>
      </c>
      <c r="AX38">
        <v>44171317</v>
      </c>
      <c r="AY38">
        <v>1</v>
      </c>
      <c r="AZ38">
        <v>0</v>
      </c>
      <c r="BA38">
        <v>36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Y38*Source!I46</f>
        <v>0.31</v>
      </c>
      <c r="CY38">
        <f t="shared" si="8"/>
        <v>1.05</v>
      </c>
      <c r="CZ38">
        <f t="shared" si="9"/>
        <v>1</v>
      </c>
      <c r="DA38">
        <f t="shared" si="10"/>
        <v>1</v>
      </c>
      <c r="DB38">
        <f t="shared" si="11"/>
        <v>0.01</v>
      </c>
      <c r="DC38">
        <f t="shared" si="12"/>
        <v>0</v>
      </c>
    </row>
    <row r="39" spans="1:107" x14ac:dyDescent="0.2">
      <c r="A39">
        <f>ROW(Source!A46)</f>
        <v>46</v>
      </c>
      <c r="B39">
        <v>44175489</v>
      </c>
      <c r="C39">
        <v>44171293</v>
      </c>
      <c r="D39">
        <v>35043080</v>
      </c>
      <c r="E39">
        <v>1</v>
      </c>
      <c r="F39">
        <v>1</v>
      </c>
      <c r="G39">
        <v>34959076</v>
      </c>
      <c r="H39">
        <v>3</v>
      </c>
      <c r="I39" t="s">
        <v>257</v>
      </c>
      <c r="J39" t="s">
        <v>258</v>
      </c>
      <c r="K39" t="s">
        <v>259</v>
      </c>
      <c r="L39">
        <v>1348</v>
      </c>
      <c r="N39">
        <v>1009</v>
      </c>
      <c r="O39" t="s">
        <v>260</v>
      </c>
      <c r="P39" t="s">
        <v>260</v>
      </c>
      <c r="Q39">
        <v>1000</v>
      </c>
      <c r="W39">
        <v>0</v>
      </c>
      <c r="X39">
        <v>1678700400</v>
      </c>
      <c r="Y39">
        <v>2.3014699999999999E-3</v>
      </c>
      <c r="AA39">
        <v>21697.05</v>
      </c>
      <c r="AB39">
        <v>0</v>
      </c>
      <c r="AC39">
        <v>0</v>
      </c>
      <c r="AD39">
        <v>0</v>
      </c>
      <c r="AE39">
        <v>5778.3</v>
      </c>
      <c r="AF39">
        <v>0</v>
      </c>
      <c r="AG39">
        <v>0</v>
      </c>
      <c r="AH39">
        <v>0</v>
      </c>
      <c r="AI39">
        <v>3.48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0</v>
      </c>
      <c r="AQ39">
        <v>0</v>
      </c>
      <c r="AR39">
        <v>0</v>
      </c>
      <c r="AS39" t="s">
        <v>6</v>
      </c>
      <c r="AT39">
        <v>2.3014699999999999E-3</v>
      </c>
      <c r="AU39" t="s">
        <v>6</v>
      </c>
      <c r="AV39">
        <v>0</v>
      </c>
      <c r="AW39">
        <v>2</v>
      </c>
      <c r="AX39">
        <v>44171318</v>
      </c>
      <c r="AY39">
        <v>1</v>
      </c>
      <c r="AZ39">
        <v>0</v>
      </c>
      <c r="BA39">
        <v>37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Y39*Source!I46</f>
        <v>7.1345569999999997E-2</v>
      </c>
      <c r="CY39">
        <f t="shared" ref="CY39:CY44" si="13">AA39</f>
        <v>21697.05</v>
      </c>
      <c r="CZ39">
        <f t="shared" ref="CZ39:CZ44" si="14">AE39</f>
        <v>5778.3</v>
      </c>
      <c r="DA39">
        <f t="shared" ref="DA39:DA44" si="15">AI39</f>
        <v>3.48</v>
      </c>
      <c r="DB39">
        <f t="shared" si="11"/>
        <v>13.3</v>
      </c>
      <c r="DC39">
        <f t="shared" si="12"/>
        <v>0</v>
      </c>
    </row>
    <row r="40" spans="1:107" x14ac:dyDescent="0.2">
      <c r="A40">
        <f>ROW(Source!A46)</f>
        <v>46</v>
      </c>
      <c r="B40">
        <v>44175489</v>
      </c>
      <c r="C40">
        <v>44171293</v>
      </c>
      <c r="D40">
        <v>35043897</v>
      </c>
      <c r="E40">
        <v>1</v>
      </c>
      <c r="F40">
        <v>1</v>
      </c>
      <c r="G40">
        <v>34959076</v>
      </c>
      <c r="H40">
        <v>3</v>
      </c>
      <c r="I40" t="s">
        <v>261</v>
      </c>
      <c r="J40" t="s">
        <v>262</v>
      </c>
      <c r="K40" t="s">
        <v>263</v>
      </c>
      <c r="L40">
        <v>1339</v>
      </c>
      <c r="N40">
        <v>1007</v>
      </c>
      <c r="O40" t="s">
        <v>43</v>
      </c>
      <c r="P40" t="s">
        <v>43</v>
      </c>
      <c r="Q40">
        <v>1</v>
      </c>
      <c r="W40">
        <v>0</v>
      </c>
      <c r="X40">
        <v>-862991314</v>
      </c>
      <c r="Y40">
        <v>3.15</v>
      </c>
      <c r="AA40">
        <v>34.79</v>
      </c>
      <c r="AB40">
        <v>0</v>
      </c>
      <c r="AC40">
        <v>0</v>
      </c>
      <c r="AD40">
        <v>0</v>
      </c>
      <c r="AE40">
        <v>7.07</v>
      </c>
      <c r="AF40">
        <v>0</v>
      </c>
      <c r="AG40">
        <v>0</v>
      </c>
      <c r="AH40">
        <v>0</v>
      </c>
      <c r="AI40">
        <v>4.5599999999999996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0</v>
      </c>
      <c r="AQ40">
        <v>0</v>
      </c>
      <c r="AR40">
        <v>0</v>
      </c>
      <c r="AS40" t="s">
        <v>6</v>
      </c>
      <c r="AT40">
        <v>3.15</v>
      </c>
      <c r="AU40" t="s">
        <v>6</v>
      </c>
      <c r="AV40">
        <v>0</v>
      </c>
      <c r="AW40">
        <v>2</v>
      </c>
      <c r="AX40">
        <v>44171319</v>
      </c>
      <c r="AY40">
        <v>1</v>
      </c>
      <c r="AZ40">
        <v>0</v>
      </c>
      <c r="BA40">
        <v>38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Y40*Source!I46</f>
        <v>97.649999999999991</v>
      </c>
      <c r="CY40">
        <f t="shared" si="13"/>
        <v>34.79</v>
      </c>
      <c r="CZ40">
        <f t="shared" si="14"/>
        <v>7.07</v>
      </c>
      <c r="DA40">
        <f t="shared" si="15"/>
        <v>4.5599999999999996</v>
      </c>
      <c r="DB40">
        <f t="shared" si="11"/>
        <v>22.27</v>
      </c>
      <c r="DC40">
        <f t="shared" si="12"/>
        <v>0</v>
      </c>
    </row>
    <row r="41" spans="1:107" x14ac:dyDescent="0.2">
      <c r="A41">
        <f>ROW(Source!A46)</f>
        <v>46</v>
      </c>
      <c r="B41">
        <v>44175489</v>
      </c>
      <c r="C41">
        <v>44171293</v>
      </c>
      <c r="D41">
        <v>35042352</v>
      </c>
      <c r="E41">
        <v>1</v>
      </c>
      <c r="F41">
        <v>1</v>
      </c>
      <c r="G41">
        <v>34959076</v>
      </c>
      <c r="H41">
        <v>3</v>
      </c>
      <c r="I41" t="s">
        <v>71</v>
      </c>
      <c r="J41" t="s">
        <v>74</v>
      </c>
      <c r="K41" t="s">
        <v>72</v>
      </c>
      <c r="L41">
        <v>1346</v>
      </c>
      <c r="N41">
        <v>1009</v>
      </c>
      <c r="O41" t="s">
        <v>73</v>
      </c>
      <c r="P41" t="s">
        <v>73</v>
      </c>
      <c r="Q41">
        <v>1</v>
      </c>
      <c r="W41">
        <v>0</v>
      </c>
      <c r="X41">
        <v>185995085</v>
      </c>
      <c r="Y41">
        <v>179.2</v>
      </c>
      <c r="AA41">
        <v>49.01</v>
      </c>
      <c r="AB41">
        <v>0</v>
      </c>
      <c r="AC41">
        <v>0</v>
      </c>
      <c r="AD41">
        <v>0</v>
      </c>
      <c r="AE41">
        <v>11.3</v>
      </c>
      <c r="AF41">
        <v>0</v>
      </c>
      <c r="AG41">
        <v>0</v>
      </c>
      <c r="AH41">
        <v>0</v>
      </c>
      <c r="AI41">
        <v>4.0199999999999996</v>
      </c>
      <c r="AJ41">
        <v>1</v>
      </c>
      <c r="AK41">
        <v>1</v>
      </c>
      <c r="AL41">
        <v>1</v>
      </c>
      <c r="AN41">
        <v>0</v>
      </c>
      <c r="AO41">
        <v>0</v>
      </c>
      <c r="AP41">
        <v>0</v>
      </c>
      <c r="AQ41">
        <v>0</v>
      </c>
      <c r="AR41">
        <v>0</v>
      </c>
      <c r="AS41" t="s">
        <v>6</v>
      </c>
      <c r="AT41">
        <v>179.2</v>
      </c>
      <c r="AU41" t="s">
        <v>6</v>
      </c>
      <c r="AV41">
        <v>0</v>
      </c>
      <c r="AW41">
        <v>1</v>
      </c>
      <c r="AX41">
        <v>-1</v>
      </c>
      <c r="AY41">
        <v>0</v>
      </c>
      <c r="AZ41">
        <v>0</v>
      </c>
      <c r="BA41" t="s">
        <v>6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Y41*Source!I46</f>
        <v>5555.2</v>
      </c>
      <c r="CY41">
        <f t="shared" si="13"/>
        <v>49.01</v>
      </c>
      <c r="CZ41">
        <f t="shared" si="14"/>
        <v>11.3</v>
      </c>
      <c r="DA41">
        <f t="shared" si="15"/>
        <v>4.0199999999999996</v>
      </c>
      <c r="DB41">
        <f t="shared" si="11"/>
        <v>2024.96</v>
      </c>
      <c r="DC41">
        <f t="shared" si="12"/>
        <v>0</v>
      </c>
    </row>
    <row r="42" spans="1:107" x14ac:dyDescent="0.2">
      <c r="A42">
        <f>ROW(Source!A46)</f>
        <v>46</v>
      </c>
      <c r="B42">
        <v>44175489</v>
      </c>
      <c r="C42">
        <v>44171293</v>
      </c>
      <c r="D42">
        <v>35041443</v>
      </c>
      <c r="E42">
        <v>1</v>
      </c>
      <c r="F42">
        <v>1</v>
      </c>
      <c r="G42">
        <v>34959076</v>
      </c>
      <c r="H42">
        <v>3</v>
      </c>
      <c r="I42" t="s">
        <v>264</v>
      </c>
      <c r="J42" t="s">
        <v>265</v>
      </c>
      <c r="K42" t="s">
        <v>266</v>
      </c>
      <c r="L42">
        <v>1346</v>
      </c>
      <c r="N42">
        <v>1009</v>
      </c>
      <c r="O42" t="s">
        <v>73</v>
      </c>
      <c r="P42" t="s">
        <v>73</v>
      </c>
      <c r="Q42">
        <v>1</v>
      </c>
      <c r="W42">
        <v>0</v>
      </c>
      <c r="X42">
        <v>-754417250</v>
      </c>
      <c r="Y42">
        <v>4.6699999999999998E-2</v>
      </c>
      <c r="AA42">
        <v>49.56</v>
      </c>
      <c r="AB42">
        <v>0</v>
      </c>
      <c r="AC42">
        <v>0</v>
      </c>
      <c r="AD42">
        <v>0</v>
      </c>
      <c r="AE42">
        <v>7.48</v>
      </c>
      <c r="AF42">
        <v>0</v>
      </c>
      <c r="AG42">
        <v>0</v>
      </c>
      <c r="AH42">
        <v>0</v>
      </c>
      <c r="AI42">
        <v>6.14</v>
      </c>
      <c r="AJ42">
        <v>1</v>
      </c>
      <c r="AK42">
        <v>1</v>
      </c>
      <c r="AL42">
        <v>1</v>
      </c>
      <c r="AN42">
        <v>0</v>
      </c>
      <c r="AO42">
        <v>1</v>
      </c>
      <c r="AP42">
        <v>0</v>
      </c>
      <c r="AQ42">
        <v>0</v>
      </c>
      <c r="AR42">
        <v>0</v>
      </c>
      <c r="AS42" t="s">
        <v>6</v>
      </c>
      <c r="AT42">
        <v>4.6699999999999998E-2</v>
      </c>
      <c r="AU42" t="s">
        <v>6</v>
      </c>
      <c r="AV42">
        <v>0</v>
      </c>
      <c r="AW42">
        <v>2</v>
      </c>
      <c r="AX42">
        <v>44171320</v>
      </c>
      <c r="AY42">
        <v>1</v>
      </c>
      <c r="AZ42">
        <v>0</v>
      </c>
      <c r="BA42">
        <v>39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Y42*Source!I46</f>
        <v>1.4477</v>
      </c>
      <c r="CY42">
        <f t="shared" si="13"/>
        <v>49.56</v>
      </c>
      <c r="CZ42">
        <f t="shared" si="14"/>
        <v>7.48</v>
      </c>
      <c r="DA42">
        <f t="shared" si="15"/>
        <v>6.14</v>
      </c>
      <c r="DB42">
        <f t="shared" si="11"/>
        <v>0.35</v>
      </c>
      <c r="DC42">
        <f t="shared" si="12"/>
        <v>0</v>
      </c>
    </row>
    <row r="43" spans="1:107" x14ac:dyDescent="0.2">
      <c r="A43">
        <f>ROW(Source!A46)</f>
        <v>46</v>
      </c>
      <c r="B43">
        <v>44175489</v>
      </c>
      <c r="C43">
        <v>44171293</v>
      </c>
      <c r="D43">
        <v>35041111</v>
      </c>
      <c r="E43">
        <v>1</v>
      </c>
      <c r="F43">
        <v>1</v>
      </c>
      <c r="G43">
        <v>34959076</v>
      </c>
      <c r="H43">
        <v>3</v>
      </c>
      <c r="I43" t="s">
        <v>81</v>
      </c>
      <c r="J43" t="s">
        <v>84</v>
      </c>
      <c r="K43" t="s">
        <v>82</v>
      </c>
      <c r="L43">
        <v>1296</v>
      </c>
      <c r="N43">
        <v>1002</v>
      </c>
      <c r="O43" t="s">
        <v>83</v>
      </c>
      <c r="P43" t="s">
        <v>83</v>
      </c>
      <c r="Q43">
        <v>1</v>
      </c>
      <c r="W43">
        <v>0</v>
      </c>
      <c r="X43">
        <v>-360054125</v>
      </c>
      <c r="Y43">
        <v>9.8176000000000005</v>
      </c>
      <c r="AA43">
        <v>482.62</v>
      </c>
      <c r="AB43">
        <v>0</v>
      </c>
      <c r="AC43">
        <v>0</v>
      </c>
      <c r="AD43">
        <v>0</v>
      </c>
      <c r="AE43">
        <v>95.37</v>
      </c>
      <c r="AF43">
        <v>0</v>
      </c>
      <c r="AG43">
        <v>0</v>
      </c>
      <c r="AH43">
        <v>0</v>
      </c>
      <c r="AI43">
        <v>4.6900000000000004</v>
      </c>
      <c r="AJ43">
        <v>1</v>
      </c>
      <c r="AK43">
        <v>1</v>
      </c>
      <c r="AL43">
        <v>1</v>
      </c>
      <c r="AN43">
        <v>0</v>
      </c>
      <c r="AO43">
        <v>0</v>
      </c>
      <c r="AP43">
        <v>0</v>
      </c>
      <c r="AQ43">
        <v>0</v>
      </c>
      <c r="AR43">
        <v>0</v>
      </c>
      <c r="AS43" t="s">
        <v>6</v>
      </c>
      <c r="AT43">
        <v>9.8176000000000005</v>
      </c>
      <c r="AU43" t="s">
        <v>6</v>
      </c>
      <c r="AV43">
        <v>0</v>
      </c>
      <c r="AW43">
        <v>1</v>
      </c>
      <c r="AX43">
        <v>-1</v>
      </c>
      <c r="AY43">
        <v>0</v>
      </c>
      <c r="AZ43">
        <v>0</v>
      </c>
      <c r="BA43" t="s">
        <v>6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Y43*Source!I46</f>
        <v>304.34559999999999</v>
      </c>
      <c r="CY43">
        <f t="shared" si="13"/>
        <v>482.62</v>
      </c>
      <c r="CZ43">
        <f t="shared" si="14"/>
        <v>95.37</v>
      </c>
      <c r="DA43">
        <f t="shared" si="15"/>
        <v>4.6900000000000004</v>
      </c>
      <c r="DB43">
        <f t="shared" si="11"/>
        <v>936.3</v>
      </c>
      <c r="DC43">
        <f t="shared" si="12"/>
        <v>0</v>
      </c>
    </row>
    <row r="44" spans="1:107" x14ac:dyDescent="0.2">
      <c r="A44">
        <f>ROW(Source!A46)</f>
        <v>46</v>
      </c>
      <c r="B44">
        <v>44175489</v>
      </c>
      <c r="C44">
        <v>44171293</v>
      </c>
      <c r="D44">
        <v>35046588</v>
      </c>
      <c r="E44">
        <v>1</v>
      </c>
      <c r="F44">
        <v>1</v>
      </c>
      <c r="G44">
        <v>34959076</v>
      </c>
      <c r="H44">
        <v>3</v>
      </c>
      <c r="I44" t="s">
        <v>76</v>
      </c>
      <c r="J44" t="s">
        <v>79</v>
      </c>
      <c r="K44" t="s">
        <v>77</v>
      </c>
      <c r="L44">
        <v>1301</v>
      </c>
      <c r="N44">
        <v>1003</v>
      </c>
      <c r="O44" t="s">
        <v>78</v>
      </c>
      <c r="P44" t="s">
        <v>78</v>
      </c>
      <c r="Q44">
        <v>1</v>
      </c>
      <c r="W44">
        <v>0</v>
      </c>
      <c r="X44">
        <v>-203233444</v>
      </c>
      <c r="Y44">
        <v>3.1935479999999998</v>
      </c>
      <c r="AA44">
        <v>2273.37</v>
      </c>
      <c r="AB44">
        <v>0</v>
      </c>
      <c r="AC44">
        <v>0</v>
      </c>
      <c r="AD44">
        <v>0</v>
      </c>
      <c r="AE44">
        <v>707.02</v>
      </c>
      <c r="AF44">
        <v>0</v>
      </c>
      <c r="AG44">
        <v>0</v>
      </c>
      <c r="AH44">
        <v>0</v>
      </c>
      <c r="AI44">
        <v>2.98</v>
      </c>
      <c r="AJ44">
        <v>1</v>
      </c>
      <c r="AK44">
        <v>1</v>
      </c>
      <c r="AL44">
        <v>1</v>
      </c>
      <c r="AN44">
        <v>0</v>
      </c>
      <c r="AO44">
        <v>0</v>
      </c>
      <c r="AP44">
        <v>0</v>
      </c>
      <c r="AQ44">
        <v>0</v>
      </c>
      <c r="AR44">
        <v>0</v>
      </c>
      <c r="AS44" t="s">
        <v>6</v>
      </c>
      <c r="AT44">
        <v>3.1935479999999998</v>
      </c>
      <c r="AU44" t="s">
        <v>6</v>
      </c>
      <c r="AV44">
        <v>0</v>
      </c>
      <c r="AW44">
        <v>1</v>
      </c>
      <c r="AX44">
        <v>-1</v>
      </c>
      <c r="AY44">
        <v>0</v>
      </c>
      <c r="AZ44">
        <v>0</v>
      </c>
      <c r="BA44" t="s">
        <v>6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Y44*Source!I46</f>
        <v>98.999988000000002</v>
      </c>
      <c r="CY44">
        <f t="shared" si="13"/>
        <v>2273.37</v>
      </c>
      <c r="CZ44">
        <f t="shared" si="14"/>
        <v>707.02</v>
      </c>
      <c r="DA44">
        <f t="shared" si="15"/>
        <v>2.98</v>
      </c>
      <c r="DB44">
        <f t="shared" si="11"/>
        <v>2257.9</v>
      </c>
      <c r="DC44">
        <f t="shared" si="12"/>
        <v>0</v>
      </c>
    </row>
    <row r="45" spans="1:107" x14ac:dyDescent="0.2">
      <c r="A45">
        <f>ROW(Source!A50)</f>
        <v>50</v>
      </c>
      <c r="B45">
        <v>44175489</v>
      </c>
      <c r="C45">
        <v>44171327</v>
      </c>
      <c r="D45">
        <v>35065183</v>
      </c>
      <c r="E45">
        <v>1</v>
      </c>
      <c r="F45">
        <v>1</v>
      </c>
      <c r="G45">
        <v>34959076</v>
      </c>
      <c r="H45">
        <v>2</v>
      </c>
      <c r="I45" t="s">
        <v>267</v>
      </c>
      <c r="J45" t="s">
        <v>268</v>
      </c>
      <c r="K45" t="s">
        <v>269</v>
      </c>
      <c r="L45">
        <v>1367</v>
      </c>
      <c r="N45">
        <v>1011</v>
      </c>
      <c r="O45" t="s">
        <v>232</v>
      </c>
      <c r="P45" t="s">
        <v>232</v>
      </c>
      <c r="Q45">
        <v>1</v>
      </c>
      <c r="W45">
        <v>0</v>
      </c>
      <c r="X45">
        <v>2118325711</v>
      </c>
      <c r="Y45">
        <v>1.82</v>
      </c>
      <c r="AA45">
        <v>0</v>
      </c>
      <c r="AB45">
        <v>35.71</v>
      </c>
      <c r="AC45">
        <v>7.32</v>
      </c>
      <c r="AD45">
        <v>0</v>
      </c>
      <c r="AE45">
        <v>0</v>
      </c>
      <c r="AF45">
        <v>14.12</v>
      </c>
      <c r="AG45">
        <v>0.32</v>
      </c>
      <c r="AH45">
        <v>0</v>
      </c>
      <c r="AI45">
        <v>1</v>
      </c>
      <c r="AJ45">
        <v>2.37</v>
      </c>
      <c r="AK45">
        <v>21.43</v>
      </c>
      <c r="AL45">
        <v>1</v>
      </c>
      <c r="AN45">
        <v>0</v>
      </c>
      <c r="AO45">
        <v>1</v>
      </c>
      <c r="AP45">
        <v>0</v>
      </c>
      <c r="AQ45">
        <v>0</v>
      </c>
      <c r="AR45">
        <v>0</v>
      </c>
      <c r="AS45" t="s">
        <v>6</v>
      </c>
      <c r="AT45">
        <v>1.82</v>
      </c>
      <c r="AU45" t="s">
        <v>6</v>
      </c>
      <c r="AV45">
        <v>0</v>
      </c>
      <c r="AW45">
        <v>2</v>
      </c>
      <c r="AX45">
        <v>44171329</v>
      </c>
      <c r="AY45">
        <v>1</v>
      </c>
      <c r="AZ45">
        <v>0</v>
      </c>
      <c r="BA45">
        <v>43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Y45*Source!I50</f>
        <v>10.92</v>
      </c>
      <c r="CY45">
        <f>AB45</f>
        <v>35.71</v>
      </c>
      <c r="CZ45">
        <f>AF45</f>
        <v>14.12</v>
      </c>
      <c r="DA45">
        <f>AJ45</f>
        <v>2.37</v>
      </c>
      <c r="DB45">
        <f t="shared" si="11"/>
        <v>25.7</v>
      </c>
      <c r="DC45">
        <f t="shared" si="12"/>
        <v>0.57999999999999996</v>
      </c>
    </row>
    <row r="46" spans="1:107" x14ac:dyDescent="0.2">
      <c r="A46">
        <f>ROW(Source!A51)</f>
        <v>51</v>
      </c>
      <c r="B46">
        <v>44175489</v>
      </c>
      <c r="C46">
        <v>44171330</v>
      </c>
      <c r="D46">
        <v>34984826</v>
      </c>
      <c r="E46">
        <v>34959076</v>
      </c>
      <c r="F46">
        <v>1</v>
      </c>
      <c r="G46">
        <v>34959076</v>
      </c>
      <c r="H46">
        <v>1</v>
      </c>
      <c r="I46" t="s">
        <v>224</v>
      </c>
      <c r="J46" t="s">
        <v>6</v>
      </c>
      <c r="K46" t="s">
        <v>225</v>
      </c>
      <c r="L46">
        <v>1191</v>
      </c>
      <c r="N46">
        <v>1013</v>
      </c>
      <c r="O46" t="s">
        <v>226</v>
      </c>
      <c r="P46" t="s">
        <v>226</v>
      </c>
      <c r="Q46">
        <v>1</v>
      </c>
      <c r="W46">
        <v>0</v>
      </c>
      <c r="X46">
        <v>476480486</v>
      </c>
      <c r="Y46">
        <v>0.26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0</v>
      </c>
      <c r="AQ46">
        <v>0</v>
      </c>
      <c r="AR46">
        <v>0</v>
      </c>
      <c r="AS46" t="s">
        <v>6</v>
      </c>
      <c r="AT46">
        <v>0.26</v>
      </c>
      <c r="AU46" t="s">
        <v>6</v>
      </c>
      <c r="AV46">
        <v>1</v>
      </c>
      <c r="AW46">
        <v>2</v>
      </c>
      <c r="AX46">
        <v>44171333</v>
      </c>
      <c r="AY46">
        <v>1</v>
      </c>
      <c r="AZ46">
        <v>0</v>
      </c>
      <c r="BA46">
        <v>44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Y46*Source!I51</f>
        <v>0.26</v>
      </c>
      <c r="CY46">
        <f>AD46</f>
        <v>0</v>
      </c>
      <c r="CZ46">
        <f>AH46</f>
        <v>0</v>
      </c>
      <c r="DA46">
        <f>AL46</f>
        <v>1</v>
      </c>
      <c r="DB46">
        <f t="shared" si="11"/>
        <v>0</v>
      </c>
      <c r="DC46">
        <f t="shared" si="12"/>
        <v>0</v>
      </c>
    </row>
    <row r="47" spans="1:107" x14ac:dyDescent="0.2">
      <c r="A47">
        <f>ROW(Source!A51)</f>
        <v>51</v>
      </c>
      <c r="B47">
        <v>44175489</v>
      </c>
      <c r="C47">
        <v>44171330</v>
      </c>
      <c r="D47">
        <v>38777804</v>
      </c>
      <c r="E47">
        <v>1</v>
      </c>
      <c r="F47">
        <v>1</v>
      </c>
      <c r="G47">
        <v>34959076</v>
      </c>
      <c r="H47">
        <v>2</v>
      </c>
      <c r="I47" t="s">
        <v>229</v>
      </c>
      <c r="J47" t="s">
        <v>230</v>
      </c>
      <c r="K47" t="s">
        <v>231</v>
      </c>
      <c r="L47">
        <v>1367</v>
      </c>
      <c r="N47">
        <v>1011</v>
      </c>
      <c r="O47" t="s">
        <v>232</v>
      </c>
      <c r="P47" t="s">
        <v>232</v>
      </c>
      <c r="Q47">
        <v>1</v>
      </c>
      <c r="W47">
        <v>0</v>
      </c>
      <c r="X47">
        <v>1357638705</v>
      </c>
      <c r="Y47">
        <v>0.26</v>
      </c>
      <c r="AA47">
        <v>0</v>
      </c>
      <c r="AB47">
        <v>12038.08</v>
      </c>
      <c r="AC47">
        <v>1669.55</v>
      </c>
      <c r="AD47">
        <v>0</v>
      </c>
      <c r="AE47">
        <v>0</v>
      </c>
      <c r="AF47">
        <v>1948.76</v>
      </c>
      <c r="AG47">
        <v>74.41</v>
      </c>
      <c r="AH47">
        <v>0</v>
      </c>
      <c r="AI47">
        <v>1</v>
      </c>
      <c r="AJ47">
        <v>5.9</v>
      </c>
      <c r="AK47">
        <v>21.43</v>
      </c>
      <c r="AL47">
        <v>1</v>
      </c>
      <c r="AN47">
        <v>0</v>
      </c>
      <c r="AO47">
        <v>1</v>
      </c>
      <c r="AP47">
        <v>0</v>
      </c>
      <c r="AQ47">
        <v>0</v>
      </c>
      <c r="AR47">
        <v>0</v>
      </c>
      <c r="AS47" t="s">
        <v>6</v>
      </c>
      <c r="AT47">
        <v>0.26</v>
      </c>
      <c r="AU47" t="s">
        <v>6</v>
      </c>
      <c r="AV47">
        <v>0</v>
      </c>
      <c r="AW47">
        <v>2</v>
      </c>
      <c r="AX47">
        <v>44171334</v>
      </c>
      <c r="AY47">
        <v>1</v>
      </c>
      <c r="AZ47">
        <v>0</v>
      </c>
      <c r="BA47">
        <v>45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Y47*Source!I51</f>
        <v>0.26</v>
      </c>
      <c r="CY47">
        <f>AB47</f>
        <v>12038.08</v>
      </c>
      <c r="CZ47">
        <f>AF47</f>
        <v>1948.76</v>
      </c>
      <c r="DA47">
        <f>AJ47</f>
        <v>5.9</v>
      </c>
      <c r="DB47">
        <f t="shared" si="11"/>
        <v>506.68</v>
      </c>
      <c r="DC47">
        <f t="shared" si="12"/>
        <v>19.350000000000001</v>
      </c>
    </row>
    <row r="48" spans="1:107" x14ac:dyDescent="0.2">
      <c r="A48">
        <f>ROW(Source!A53)</f>
        <v>53</v>
      </c>
      <c r="B48">
        <v>44175489</v>
      </c>
      <c r="C48">
        <v>44171336</v>
      </c>
      <c r="D48">
        <v>34984826</v>
      </c>
      <c r="E48">
        <v>34959076</v>
      </c>
      <c r="F48">
        <v>1</v>
      </c>
      <c r="G48">
        <v>34959076</v>
      </c>
      <c r="H48">
        <v>1</v>
      </c>
      <c r="I48" t="s">
        <v>224</v>
      </c>
      <c r="J48" t="s">
        <v>6</v>
      </c>
      <c r="K48" t="s">
        <v>225</v>
      </c>
      <c r="L48">
        <v>1191</v>
      </c>
      <c r="N48">
        <v>1013</v>
      </c>
      <c r="O48" t="s">
        <v>226</v>
      </c>
      <c r="P48" t="s">
        <v>226</v>
      </c>
      <c r="Q48">
        <v>1</v>
      </c>
      <c r="W48">
        <v>0</v>
      </c>
      <c r="X48">
        <v>476480486</v>
      </c>
      <c r="Y48">
        <v>0.6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0</v>
      </c>
      <c r="AQ48">
        <v>0</v>
      </c>
      <c r="AR48">
        <v>0</v>
      </c>
      <c r="AS48" t="s">
        <v>6</v>
      </c>
      <c r="AT48">
        <v>0.6</v>
      </c>
      <c r="AU48" t="s">
        <v>6</v>
      </c>
      <c r="AV48">
        <v>1</v>
      </c>
      <c r="AW48">
        <v>2</v>
      </c>
      <c r="AX48">
        <v>44171340</v>
      </c>
      <c r="AY48">
        <v>1</v>
      </c>
      <c r="AZ48">
        <v>0</v>
      </c>
      <c r="BA48">
        <v>46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Y48*Source!I53</f>
        <v>0.6</v>
      </c>
      <c r="CY48">
        <f>AD48</f>
        <v>0</v>
      </c>
      <c r="CZ48">
        <f>AH48</f>
        <v>0</v>
      </c>
      <c r="DA48">
        <f>AL48</f>
        <v>1</v>
      </c>
      <c r="DB48">
        <f t="shared" si="11"/>
        <v>0</v>
      </c>
      <c r="DC48">
        <f t="shared" si="12"/>
        <v>0</v>
      </c>
    </row>
    <row r="49" spans="1:107" x14ac:dyDescent="0.2">
      <c r="A49">
        <f>ROW(Source!A53)</f>
        <v>53</v>
      </c>
      <c r="B49">
        <v>44175489</v>
      </c>
      <c r="C49">
        <v>44171336</v>
      </c>
      <c r="D49">
        <v>38777804</v>
      </c>
      <c r="E49">
        <v>1</v>
      </c>
      <c r="F49">
        <v>1</v>
      </c>
      <c r="G49">
        <v>34959076</v>
      </c>
      <c r="H49">
        <v>2</v>
      </c>
      <c r="I49" t="s">
        <v>229</v>
      </c>
      <c r="J49" t="s">
        <v>230</v>
      </c>
      <c r="K49" t="s">
        <v>231</v>
      </c>
      <c r="L49">
        <v>1367</v>
      </c>
      <c r="N49">
        <v>1011</v>
      </c>
      <c r="O49" t="s">
        <v>232</v>
      </c>
      <c r="P49" t="s">
        <v>232</v>
      </c>
      <c r="Q49">
        <v>1</v>
      </c>
      <c r="W49">
        <v>0</v>
      </c>
      <c r="X49">
        <v>1357638705</v>
      </c>
      <c r="Y49">
        <v>0.6</v>
      </c>
      <c r="AA49">
        <v>0</v>
      </c>
      <c r="AB49">
        <v>12038.08</v>
      </c>
      <c r="AC49">
        <v>1669.55</v>
      </c>
      <c r="AD49">
        <v>0</v>
      </c>
      <c r="AE49">
        <v>0</v>
      </c>
      <c r="AF49">
        <v>1948.76</v>
      </c>
      <c r="AG49">
        <v>74.41</v>
      </c>
      <c r="AH49">
        <v>0</v>
      </c>
      <c r="AI49">
        <v>1</v>
      </c>
      <c r="AJ49">
        <v>5.9</v>
      </c>
      <c r="AK49">
        <v>21.43</v>
      </c>
      <c r="AL49">
        <v>1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6</v>
      </c>
      <c r="AT49">
        <v>0.6</v>
      </c>
      <c r="AU49" t="s">
        <v>6</v>
      </c>
      <c r="AV49">
        <v>0</v>
      </c>
      <c r="AW49">
        <v>2</v>
      </c>
      <c r="AX49">
        <v>44171341</v>
      </c>
      <c r="AY49">
        <v>1</v>
      </c>
      <c r="AZ49">
        <v>0</v>
      </c>
      <c r="BA49">
        <v>47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Y49*Source!I53</f>
        <v>0.6</v>
      </c>
      <c r="CY49">
        <f>AB49</f>
        <v>12038.08</v>
      </c>
      <c r="CZ49">
        <f>AF49</f>
        <v>1948.76</v>
      </c>
      <c r="DA49">
        <f>AJ49</f>
        <v>5.9</v>
      </c>
      <c r="DB49">
        <f t="shared" si="11"/>
        <v>1169.26</v>
      </c>
      <c r="DC49">
        <f t="shared" si="12"/>
        <v>44.65</v>
      </c>
    </row>
    <row r="50" spans="1:107" x14ac:dyDescent="0.2">
      <c r="A50">
        <f>ROW(Source!A53)</f>
        <v>53</v>
      </c>
      <c r="B50">
        <v>44175489</v>
      </c>
      <c r="C50">
        <v>44171336</v>
      </c>
      <c r="D50">
        <v>35065040</v>
      </c>
      <c r="E50">
        <v>1</v>
      </c>
      <c r="F50">
        <v>1</v>
      </c>
      <c r="G50">
        <v>34959076</v>
      </c>
      <c r="H50">
        <v>2</v>
      </c>
      <c r="I50" t="s">
        <v>233</v>
      </c>
      <c r="J50" t="s">
        <v>234</v>
      </c>
      <c r="K50" t="s">
        <v>235</v>
      </c>
      <c r="L50">
        <v>1367</v>
      </c>
      <c r="N50">
        <v>1011</v>
      </c>
      <c r="O50" t="s">
        <v>232</v>
      </c>
      <c r="P50" t="s">
        <v>232</v>
      </c>
      <c r="Q50">
        <v>1</v>
      </c>
      <c r="W50">
        <v>0</v>
      </c>
      <c r="X50">
        <v>776244494</v>
      </c>
      <c r="Y50">
        <v>0.57999999999999996</v>
      </c>
      <c r="AA50">
        <v>0</v>
      </c>
      <c r="AB50">
        <v>1198.1199999999999</v>
      </c>
      <c r="AC50">
        <v>540.29</v>
      </c>
      <c r="AD50">
        <v>0</v>
      </c>
      <c r="AE50">
        <v>0</v>
      </c>
      <c r="AF50">
        <v>117.73</v>
      </c>
      <c r="AG50">
        <v>24.08</v>
      </c>
      <c r="AH50">
        <v>0</v>
      </c>
      <c r="AI50">
        <v>1</v>
      </c>
      <c r="AJ50">
        <v>9.7200000000000006</v>
      </c>
      <c r="AK50">
        <v>21.43</v>
      </c>
      <c r="AL50">
        <v>1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6</v>
      </c>
      <c r="AT50">
        <v>0.57999999999999996</v>
      </c>
      <c r="AU50" t="s">
        <v>6</v>
      </c>
      <c r="AV50">
        <v>0</v>
      </c>
      <c r="AW50">
        <v>2</v>
      </c>
      <c r="AX50">
        <v>44171342</v>
      </c>
      <c r="AY50">
        <v>1</v>
      </c>
      <c r="AZ50">
        <v>0</v>
      </c>
      <c r="BA50">
        <v>48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Y50*Source!I53</f>
        <v>0.57999999999999996</v>
      </c>
      <c r="CY50">
        <f>AB50</f>
        <v>1198.1199999999999</v>
      </c>
      <c r="CZ50">
        <f>AF50</f>
        <v>117.73</v>
      </c>
      <c r="DA50">
        <f>AJ50</f>
        <v>9.7200000000000006</v>
      </c>
      <c r="DB50">
        <f t="shared" si="11"/>
        <v>68.28</v>
      </c>
      <c r="DC50">
        <f t="shared" si="12"/>
        <v>13.97</v>
      </c>
    </row>
    <row r="51" spans="1:107" x14ac:dyDescent="0.2">
      <c r="A51">
        <f>ROW(Source!A54)</f>
        <v>54</v>
      </c>
      <c r="B51">
        <v>44175489</v>
      </c>
      <c r="C51">
        <v>44171343</v>
      </c>
      <c r="D51">
        <v>34984826</v>
      </c>
      <c r="E51">
        <v>34959076</v>
      </c>
      <c r="F51">
        <v>1</v>
      </c>
      <c r="G51">
        <v>34959076</v>
      </c>
      <c r="H51">
        <v>1</v>
      </c>
      <c r="I51" t="s">
        <v>224</v>
      </c>
      <c r="J51" t="s">
        <v>6</v>
      </c>
      <c r="K51" t="s">
        <v>225</v>
      </c>
      <c r="L51">
        <v>1191</v>
      </c>
      <c r="N51">
        <v>1013</v>
      </c>
      <c r="O51" t="s">
        <v>226</v>
      </c>
      <c r="P51" t="s">
        <v>226</v>
      </c>
      <c r="Q51">
        <v>1</v>
      </c>
      <c r="W51">
        <v>0</v>
      </c>
      <c r="X51">
        <v>476480486</v>
      </c>
      <c r="Y51">
        <v>2.2200000000000002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1</v>
      </c>
      <c r="AK51">
        <v>1</v>
      </c>
      <c r="AL51">
        <v>1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6</v>
      </c>
      <c r="AT51">
        <v>2.2200000000000002</v>
      </c>
      <c r="AU51" t="s">
        <v>6</v>
      </c>
      <c r="AV51">
        <v>1</v>
      </c>
      <c r="AW51">
        <v>2</v>
      </c>
      <c r="AX51">
        <v>44171359</v>
      </c>
      <c r="AY51">
        <v>1</v>
      </c>
      <c r="AZ51">
        <v>0</v>
      </c>
      <c r="BA51">
        <v>49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Y51*Source!I54</f>
        <v>301.92</v>
      </c>
      <c r="CY51">
        <f>AD51</f>
        <v>0</v>
      </c>
      <c r="CZ51">
        <f>AH51</f>
        <v>0</v>
      </c>
      <c r="DA51">
        <f>AL51</f>
        <v>1</v>
      </c>
      <c r="DB51">
        <f t="shared" si="11"/>
        <v>0</v>
      </c>
      <c r="DC51">
        <f t="shared" si="12"/>
        <v>0</v>
      </c>
    </row>
    <row r="52" spans="1:107" x14ac:dyDescent="0.2">
      <c r="A52">
        <f>ROW(Source!A54)</f>
        <v>54</v>
      </c>
      <c r="B52">
        <v>44175489</v>
      </c>
      <c r="C52">
        <v>44171343</v>
      </c>
      <c r="D52">
        <v>35065139</v>
      </c>
      <c r="E52">
        <v>1</v>
      </c>
      <c r="F52">
        <v>1</v>
      </c>
      <c r="G52">
        <v>34959076</v>
      </c>
      <c r="H52">
        <v>2</v>
      </c>
      <c r="I52" t="s">
        <v>236</v>
      </c>
      <c r="J52" t="s">
        <v>237</v>
      </c>
      <c r="K52" t="s">
        <v>238</v>
      </c>
      <c r="L52">
        <v>1367</v>
      </c>
      <c r="N52">
        <v>1011</v>
      </c>
      <c r="O52" t="s">
        <v>232</v>
      </c>
      <c r="P52" t="s">
        <v>232</v>
      </c>
      <c r="Q52">
        <v>1</v>
      </c>
      <c r="W52">
        <v>0</v>
      </c>
      <c r="X52">
        <v>2037067470</v>
      </c>
      <c r="Y52">
        <v>0.21</v>
      </c>
      <c r="AA52">
        <v>0</v>
      </c>
      <c r="AB52">
        <v>427.9</v>
      </c>
      <c r="AC52">
        <v>336.56</v>
      </c>
      <c r="AD52">
        <v>0</v>
      </c>
      <c r="AE52">
        <v>0</v>
      </c>
      <c r="AF52">
        <v>50.27</v>
      </c>
      <c r="AG52">
        <v>15</v>
      </c>
      <c r="AH52">
        <v>0</v>
      </c>
      <c r="AI52">
        <v>1</v>
      </c>
      <c r="AJ52">
        <v>8.1300000000000008</v>
      </c>
      <c r="AK52">
        <v>21.43</v>
      </c>
      <c r="AL52">
        <v>1</v>
      </c>
      <c r="AN52">
        <v>0</v>
      </c>
      <c r="AO52">
        <v>1</v>
      </c>
      <c r="AP52">
        <v>0</v>
      </c>
      <c r="AQ52">
        <v>0</v>
      </c>
      <c r="AR52">
        <v>0</v>
      </c>
      <c r="AS52" t="s">
        <v>6</v>
      </c>
      <c r="AT52">
        <v>0.21</v>
      </c>
      <c r="AU52" t="s">
        <v>6</v>
      </c>
      <c r="AV52">
        <v>0</v>
      </c>
      <c r="AW52">
        <v>2</v>
      </c>
      <c r="AX52">
        <v>44171360</v>
      </c>
      <c r="AY52">
        <v>1</v>
      </c>
      <c r="AZ52">
        <v>0</v>
      </c>
      <c r="BA52">
        <v>50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Y52*Source!I54</f>
        <v>28.56</v>
      </c>
      <c r="CY52">
        <f t="shared" ref="CY52:CY59" si="16">AB52</f>
        <v>427.9</v>
      </c>
      <c r="CZ52">
        <f t="shared" ref="CZ52:CZ59" si="17">AF52</f>
        <v>50.27</v>
      </c>
      <c r="DA52">
        <f t="shared" ref="DA52:DA59" si="18">AJ52</f>
        <v>8.1300000000000008</v>
      </c>
      <c r="DB52">
        <f t="shared" si="11"/>
        <v>10.56</v>
      </c>
      <c r="DC52">
        <f t="shared" si="12"/>
        <v>3.15</v>
      </c>
    </row>
    <row r="53" spans="1:107" x14ac:dyDescent="0.2">
      <c r="A53">
        <f>ROW(Source!A54)</f>
        <v>54</v>
      </c>
      <c r="B53">
        <v>44175489</v>
      </c>
      <c r="C53">
        <v>44171343</v>
      </c>
      <c r="D53">
        <v>38777804</v>
      </c>
      <c r="E53">
        <v>1</v>
      </c>
      <c r="F53">
        <v>1</v>
      </c>
      <c r="G53">
        <v>34959076</v>
      </c>
      <c r="H53">
        <v>2</v>
      </c>
      <c r="I53" t="s">
        <v>229</v>
      </c>
      <c r="J53" t="s">
        <v>230</v>
      </c>
      <c r="K53" t="s">
        <v>231</v>
      </c>
      <c r="L53">
        <v>1367</v>
      </c>
      <c r="N53">
        <v>1011</v>
      </c>
      <c r="O53" t="s">
        <v>232</v>
      </c>
      <c r="P53" t="s">
        <v>232</v>
      </c>
      <c r="Q53">
        <v>1</v>
      </c>
      <c r="W53">
        <v>0</v>
      </c>
      <c r="X53">
        <v>1357638705</v>
      </c>
      <c r="Y53">
        <v>0.92</v>
      </c>
      <c r="AA53">
        <v>0</v>
      </c>
      <c r="AB53">
        <v>12038.08</v>
      </c>
      <c r="AC53">
        <v>1669.55</v>
      </c>
      <c r="AD53">
        <v>0</v>
      </c>
      <c r="AE53">
        <v>0</v>
      </c>
      <c r="AF53">
        <v>1948.76</v>
      </c>
      <c r="AG53">
        <v>74.41</v>
      </c>
      <c r="AH53">
        <v>0</v>
      </c>
      <c r="AI53">
        <v>1</v>
      </c>
      <c r="AJ53">
        <v>5.9</v>
      </c>
      <c r="AK53">
        <v>21.43</v>
      </c>
      <c r="AL53">
        <v>1</v>
      </c>
      <c r="AN53">
        <v>0</v>
      </c>
      <c r="AO53">
        <v>1</v>
      </c>
      <c r="AP53">
        <v>0</v>
      </c>
      <c r="AQ53">
        <v>0</v>
      </c>
      <c r="AR53">
        <v>0</v>
      </c>
      <c r="AS53" t="s">
        <v>6</v>
      </c>
      <c r="AT53">
        <v>0.92</v>
      </c>
      <c r="AU53" t="s">
        <v>6</v>
      </c>
      <c r="AV53">
        <v>0</v>
      </c>
      <c r="AW53">
        <v>2</v>
      </c>
      <c r="AX53">
        <v>44171361</v>
      </c>
      <c r="AY53">
        <v>1</v>
      </c>
      <c r="AZ53">
        <v>0</v>
      </c>
      <c r="BA53">
        <v>51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Y53*Source!I54</f>
        <v>125.12</v>
      </c>
      <c r="CY53">
        <f t="shared" si="16"/>
        <v>12038.08</v>
      </c>
      <c r="CZ53">
        <f t="shared" si="17"/>
        <v>1948.76</v>
      </c>
      <c r="DA53">
        <f t="shared" si="18"/>
        <v>5.9</v>
      </c>
      <c r="DB53">
        <f t="shared" si="11"/>
        <v>1792.86</v>
      </c>
      <c r="DC53">
        <f t="shared" si="12"/>
        <v>68.459999999999994</v>
      </c>
    </row>
    <row r="54" spans="1:107" x14ac:dyDescent="0.2">
      <c r="A54">
        <f>ROW(Source!A54)</f>
        <v>54</v>
      </c>
      <c r="B54">
        <v>44175489</v>
      </c>
      <c r="C54">
        <v>44171343</v>
      </c>
      <c r="D54">
        <v>35065321</v>
      </c>
      <c r="E54">
        <v>1</v>
      </c>
      <c r="F54">
        <v>1</v>
      </c>
      <c r="G54">
        <v>34959076</v>
      </c>
      <c r="H54">
        <v>2</v>
      </c>
      <c r="I54" t="s">
        <v>239</v>
      </c>
      <c r="J54" t="s">
        <v>240</v>
      </c>
      <c r="K54" t="s">
        <v>241</v>
      </c>
      <c r="L54">
        <v>1367</v>
      </c>
      <c r="N54">
        <v>1011</v>
      </c>
      <c r="O54" t="s">
        <v>232</v>
      </c>
      <c r="P54" t="s">
        <v>232</v>
      </c>
      <c r="Q54">
        <v>1</v>
      </c>
      <c r="W54">
        <v>0</v>
      </c>
      <c r="X54">
        <v>1313308123</v>
      </c>
      <c r="Y54">
        <v>0.16</v>
      </c>
      <c r="AA54">
        <v>0</v>
      </c>
      <c r="AB54">
        <v>2248.08</v>
      </c>
      <c r="AC54">
        <v>501.7</v>
      </c>
      <c r="AD54">
        <v>0</v>
      </c>
      <c r="AE54">
        <v>0</v>
      </c>
      <c r="AF54">
        <v>199.18</v>
      </c>
      <c r="AG54">
        <v>22.36</v>
      </c>
      <c r="AH54">
        <v>0</v>
      </c>
      <c r="AI54">
        <v>1</v>
      </c>
      <c r="AJ54">
        <v>10.78</v>
      </c>
      <c r="AK54">
        <v>21.43</v>
      </c>
      <c r="AL54">
        <v>1</v>
      </c>
      <c r="AN54">
        <v>0</v>
      </c>
      <c r="AO54">
        <v>1</v>
      </c>
      <c r="AP54">
        <v>0</v>
      </c>
      <c r="AQ54">
        <v>0</v>
      </c>
      <c r="AR54">
        <v>0</v>
      </c>
      <c r="AS54" t="s">
        <v>6</v>
      </c>
      <c r="AT54">
        <v>0.16</v>
      </c>
      <c r="AU54" t="s">
        <v>6</v>
      </c>
      <c r="AV54">
        <v>0</v>
      </c>
      <c r="AW54">
        <v>2</v>
      </c>
      <c r="AX54">
        <v>44171362</v>
      </c>
      <c r="AY54">
        <v>1</v>
      </c>
      <c r="AZ54">
        <v>0</v>
      </c>
      <c r="BA54">
        <v>52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Y54*Source!I54</f>
        <v>21.76</v>
      </c>
      <c r="CY54">
        <f t="shared" si="16"/>
        <v>2248.08</v>
      </c>
      <c r="CZ54">
        <f t="shared" si="17"/>
        <v>199.18</v>
      </c>
      <c r="DA54">
        <f t="shared" si="18"/>
        <v>10.78</v>
      </c>
      <c r="DB54">
        <f t="shared" si="11"/>
        <v>31.87</v>
      </c>
      <c r="DC54">
        <f t="shared" si="12"/>
        <v>3.58</v>
      </c>
    </row>
    <row r="55" spans="1:107" x14ac:dyDescent="0.2">
      <c r="A55">
        <f>ROW(Source!A54)</f>
        <v>54</v>
      </c>
      <c r="B55">
        <v>44175489</v>
      </c>
      <c r="C55">
        <v>44171343</v>
      </c>
      <c r="D55">
        <v>35065468</v>
      </c>
      <c r="E55">
        <v>1</v>
      </c>
      <c r="F55">
        <v>1</v>
      </c>
      <c r="G55">
        <v>34959076</v>
      </c>
      <c r="H55">
        <v>2</v>
      </c>
      <c r="I55" t="s">
        <v>242</v>
      </c>
      <c r="J55" t="s">
        <v>243</v>
      </c>
      <c r="K55" t="s">
        <v>244</v>
      </c>
      <c r="L55">
        <v>1367</v>
      </c>
      <c r="N55">
        <v>1011</v>
      </c>
      <c r="O55" t="s">
        <v>232</v>
      </c>
      <c r="P55" t="s">
        <v>232</v>
      </c>
      <c r="Q55">
        <v>1</v>
      </c>
      <c r="W55">
        <v>0</v>
      </c>
      <c r="X55">
        <v>902205412</v>
      </c>
      <c r="Y55">
        <v>0.04</v>
      </c>
      <c r="AA55">
        <v>0</v>
      </c>
      <c r="AB55">
        <v>552.35</v>
      </c>
      <c r="AC55">
        <v>173.66</v>
      </c>
      <c r="AD55">
        <v>0</v>
      </c>
      <c r="AE55">
        <v>0</v>
      </c>
      <c r="AF55">
        <v>64.89</v>
      </c>
      <c r="AG55">
        <v>7.74</v>
      </c>
      <c r="AH55">
        <v>0</v>
      </c>
      <c r="AI55">
        <v>1</v>
      </c>
      <c r="AJ55">
        <v>8.1300000000000008</v>
      </c>
      <c r="AK55">
        <v>21.43</v>
      </c>
      <c r="AL55">
        <v>1</v>
      </c>
      <c r="AN55">
        <v>0</v>
      </c>
      <c r="AO55">
        <v>1</v>
      </c>
      <c r="AP55">
        <v>0</v>
      </c>
      <c r="AQ55">
        <v>0</v>
      </c>
      <c r="AR55">
        <v>0</v>
      </c>
      <c r="AS55" t="s">
        <v>6</v>
      </c>
      <c r="AT55">
        <v>0.04</v>
      </c>
      <c r="AU55" t="s">
        <v>6</v>
      </c>
      <c r="AV55">
        <v>0</v>
      </c>
      <c r="AW55">
        <v>2</v>
      </c>
      <c r="AX55">
        <v>44171363</v>
      </c>
      <c r="AY55">
        <v>1</v>
      </c>
      <c r="AZ55">
        <v>0</v>
      </c>
      <c r="BA55">
        <v>53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Y55*Source!I54</f>
        <v>5.44</v>
      </c>
      <c r="CY55">
        <f t="shared" si="16"/>
        <v>552.35</v>
      </c>
      <c r="CZ55">
        <f t="shared" si="17"/>
        <v>64.89</v>
      </c>
      <c r="DA55">
        <f t="shared" si="18"/>
        <v>8.1300000000000008</v>
      </c>
      <c r="DB55">
        <f t="shared" si="11"/>
        <v>2.6</v>
      </c>
      <c r="DC55">
        <f t="shared" si="12"/>
        <v>0.31</v>
      </c>
    </row>
    <row r="56" spans="1:107" x14ac:dyDescent="0.2">
      <c r="A56">
        <f>ROW(Source!A54)</f>
        <v>54</v>
      </c>
      <c r="B56">
        <v>44175489</v>
      </c>
      <c r="C56">
        <v>44171343</v>
      </c>
      <c r="D56">
        <v>35064722</v>
      </c>
      <c r="E56">
        <v>1</v>
      </c>
      <c r="F56">
        <v>1</v>
      </c>
      <c r="G56">
        <v>34959076</v>
      </c>
      <c r="H56">
        <v>2</v>
      </c>
      <c r="I56" t="s">
        <v>245</v>
      </c>
      <c r="J56" t="s">
        <v>246</v>
      </c>
      <c r="K56" t="s">
        <v>247</v>
      </c>
      <c r="L56">
        <v>1367</v>
      </c>
      <c r="N56">
        <v>1011</v>
      </c>
      <c r="O56" t="s">
        <v>232</v>
      </c>
      <c r="P56" t="s">
        <v>232</v>
      </c>
      <c r="Q56">
        <v>1</v>
      </c>
      <c r="W56">
        <v>0</v>
      </c>
      <c r="X56">
        <v>2126829182</v>
      </c>
      <c r="Y56">
        <v>0.35</v>
      </c>
      <c r="AA56">
        <v>0</v>
      </c>
      <c r="AB56">
        <v>1828.67</v>
      </c>
      <c r="AC56">
        <v>801.01</v>
      </c>
      <c r="AD56">
        <v>0</v>
      </c>
      <c r="AE56">
        <v>0</v>
      </c>
      <c r="AF56">
        <v>177.86</v>
      </c>
      <c r="AG56">
        <v>35.700000000000003</v>
      </c>
      <c r="AH56">
        <v>0</v>
      </c>
      <c r="AI56">
        <v>1</v>
      </c>
      <c r="AJ56">
        <v>9.82</v>
      </c>
      <c r="AK56">
        <v>21.43</v>
      </c>
      <c r="AL56">
        <v>1</v>
      </c>
      <c r="AN56">
        <v>0</v>
      </c>
      <c r="AO56">
        <v>1</v>
      </c>
      <c r="AP56">
        <v>0</v>
      </c>
      <c r="AQ56">
        <v>0</v>
      </c>
      <c r="AR56">
        <v>0</v>
      </c>
      <c r="AS56" t="s">
        <v>6</v>
      </c>
      <c r="AT56">
        <v>0.35</v>
      </c>
      <c r="AU56" t="s">
        <v>6</v>
      </c>
      <c r="AV56">
        <v>0</v>
      </c>
      <c r="AW56">
        <v>2</v>
      </c>
      <c r="AX56">
        <v>44171364</v>
      </c>
      <c r="AY56">
        <v>1</v>
      </c>
      <c r="AZ56">
        <v>0</v>
      </c>
      <c r="BA56">
        <v>54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Y56*Source!I54</f>
        <v>47.599999999999994</v>
      </c>
      <c r="CY56">
        <f t="shared" si="16"/>
        <v>1828.67</v>
      </c>
      <c r="CZ56">
        <f t="shared" si="17"/>
        <v>177.86</v>
      </c>
      <c r="DA56">
        <f t="shared" si="18"/>
        <v>9.82</v>
      </c>
      <c r="DB56">
        <f t="shared" si="11"/>
        <v>62.25</v>
      </c>
      <c r="DC56">
        <f t="shared" si="12"/>
        <v>12.5</v>
      </c>
    </row>
    <row r="57" spans="1:107" x14ac:dyDescent="0.2">
      <c r="A57">
        <f>ROW(Source!A54)</f>
        <v>54</v>
      </c>
      <c r="B57">
        <v>44175489</v>
      </c>
      <c r="C57">
        <v>44171343</v>
      </c>
      <c r="D57">
        <v>35064877</v>
      </c>
      <c r="E57">
        <v>1</v>
      </c>
      <c r="F57">
        <v>1</v>
      </c>
      <c r="G57">
        <v>34959076</v>
      </c>
      <c r="H57">
        <v>2</v>
      </c>
      <c r="I57" t="s">
        <v>248</v>
      </c>
      <c r="J57" t="s">
        <v>249</v>
      </c>
      <c r="K57" t="s">
        <v>250</v>
      </c>
      <c r="L57">
        <v>1367</v>
      </c>
      <c r="N57">
        <v>1011</v>
      </c>
      <c r="O57" t="s">
        <v>232</v>
      </c>
      <c r="P57" t="s">
        <v>232</v>
      </c>
      <c r="Q57">
        <v>1</v>
      </c>
      <c r="W57">
        <v>0</v>
      </c>
      <c r="X57">
        <v>1778166765</v>
      </c>
      <c r="Y57">
        <v>0.21</v>
      </c>
      <c r="AA57">
        <v>0</v>
      </c>
      <c r="AB57">
        <v>1084.98</v>
      </c>
      <c r="AC57">
        <v>641.92999999999995</v>
      </c>
      <c r="AD57">
        <v>0</v>
      </c>
      <c r="AE57">
        <v>0</v>
      </c>
      <c r="AF57">
        <v>148.88999999999999</v>
      </c>
      <c r="AG57">
        <v>28.61</v>
      </c>
      <c r="AH57">
        <v>0</v>
      </c>
      <c r="AI57">
        <v>1</v>
      </c>
      <c r="AJ57">
        <v>6.96</v>
      </c>
      <c r="AK57">
        <v>21.43</v>
      </c>
      <c r="AL57">
        <v>1</v>
      </c>
      <c r="AN57">
        <v>0</v>
      </c>
      <c r="AO57">
        <v>1</v>
      </c>
      <c r="AP57">
        <v>0</v>
      </c>
      <c r="AQ57">
        <v>0</v>
      </c>
      <c r="AR57">
        <v>0</v>
      </c>
      <c r="AS57" t="s">
        <v>6</v>
      </c>
      <c r="AT57">
        <v>0.21</v>
      </c>
      <c r="AU57" t="s">
        <v>6</v>
      </c>
      <c r="AV57">
        <v>0</v>
      </c>
      <c r="AW57">
        <v>2</v>
      </c>
      <c r="AX57">
        <v>44171365</v>
      </c>
      <c r="AY57">
        <v>1</v>
      </c>
      <c r="AZ57">
        <v>0</v>
      </c>
      <c r="BA57">
        <v>55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Y57*Source!I54</f>
        <v>28.56</v>
      </c>
      <c r="CY57">
        <f t="shared" si="16"/>
        <v>1084.98</v>
      </c>
      <c r="CZ57">
        <f t="shared" si="17"/>
        <v>148.88999999999999</v>
      </c>
      <c r="DA57">
        <f t="shared" si="18"/>
        <v>6.96</v>
      </c>
      <c r="DB57">
        <f t="shared" si="11"/>
        <v>31.27</v>
      </c>
      <c r="DC57">
        <f t="shared" si="12"/>
        <v>6.01</v>
      </c>
    </row>
    <row r="58" spans="1:107" x14ac:dyDescent="0.2">
      <c r="A58">
        <f>ROW(Source!A54)</f>
        <v>54</v>
      </c>
      <c r="B58">
        <v>44175489</v>
      </c>
      <c r="C58">
        <v>44171343</v>
      </c>
      <c r="D58">
        <v>38777799</v>
      </c>
      <c r="E58">
        <v>1</v>
      </c>
      <c r="F58">
        <v>1</v>
      </c>
      <c r="G58">
        <v>34959076</v>
      </c>
      <c r="H58">
        <v>2</v>
      </c>
      <c r="I58" t="s">
        <v>251</v>
      </c>
      <c r="J58" t="s">
        <v>252</v>
      </c>
      <c r="K58" t="s">
        <v>253</v>
      </c>
      <c r="L58">
        <v>1367</v>
      </c>
      <c r="N58">
        <v>1011</v>
      </c>
      <c r="O58" t="s">
        <v>232</v>
      </c>
      <c r="P58" t="s">
        <v>232</v>
      </c>
      <c r="Q58">
        <v>1</v>
      </c>
      <c r="W58">
        <v>0</v>
      </c>
      <c r="X58">
        <v>-1506540917</v>
      </c>
      <c r="Y58">
        <v>0.92</v>
      </c>
      <c r="AA58">
        <v>0</v>
      </c>
      <c r="AB58">
        <v>783.69</v>
      </c>
      <c r="AC58">
        <v>420.47</v>
      </c>
      <c r="AD58">
        <v>0</v>
      </c>
      <c r="AE58">
        <v>0</v>
      </c>
      <c r="AF58">
        <v>80.14</v>
      </c>
      <c r="AG58">
        <v>18.739999999999998</v>
      </c>
      <c r="AH58">
        <v>0</v>
      </c>
      <c r="AI58">
        <v>1</v>
      </c>
      <c r="AJ58">
        <v>9.34</v>
      </c>
      <c r="AK58">
        <v>21.43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6</v>
      </c>
      <c r="AT58">
        <v>0.92</v>
      </c>
      <c r="AU58" t="s">
        <v>6</v>
      </c>
      <c r="AV58">
        <v>0</v>
      </c>
      <c r="AW58">
        <v>2</v>
      </c>
      <c r="AX58">
        <v>44171366</v>
      </c>
      <c r="AY58">
        <v>1</v>
      </c>
      <c r="AZ58">
        <v>0</v>
      </c>
      <c r="BA58">
        <v>56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Y58*Source!I54</f>
        <v>125.12</v>
      </c>
      <c r="CY58">
        <f t="shared" si="16"/>
        <v>783.69</v>
      </c>
      <c r="CZ58">
        <f t="shared" si="17"/>
        <v>80.14</v>
      </c>
      <c r="DA58">
        <f t="shared" si="18"/>
        <v>9.34</v>
      </c>
      <c r="DB58">
        <f t="shared" si="11"/>
        <v>73.73</v>
      </c>
      <c r="DC58">
        <f t="shared" si="12"/>
        <v>17.239999999999998</v>
      </c>
    </row>
    <row r="59" spans="1:107" x14ac:dyDescent="0.2">
      <c r="A59">
        <f>ROW(Source!A54)</f>
        <v>54</v>
      </c>
      <c r="B59">
        <v>44175489</v>
      </c>
      <c r="C59">
        <v>44171343</v>
      </c>
      <c r="D59">
        <v>34984824</v>
      </c>
      <c r="E59">
        <v>34959076</v>
      </c>
      <c r="F59">
        <v>1</v>
      </c>
      <c r="G59">
        <v>34959076</v>
      </c>
      <c r="H59">
        <v>2</v>
      </c>
      <c r="I59" t="s">
        <v>254</v>
      </c>
      <c r="J59" t="s">
        <v>6</v>
      </c>
      <c r="K59" t="s">
        <v>255</v>
      </c>
      <c r="L59">
        <v>1344</v>
      </c>
      <c r="N59">
        <v>1008</v>
      </c>
      <c r="O59" t="s">
        <v>256</v>
      </c>
      <c r="P59" t="s">
        <v>256</v>
      </c>
      <c r="Q59">
        <v>1</v>
      </c>
      <c r="W59">
        <v>0</v>
      </c>
      <c r="X59">
        <v>-1180195794</v>
      </c>
      <c r="Y59">
        <v>0.01</v>
      </c>
      <c r="AA59">
        <v>0</v>
      </c>
      <c r="AB59">
        <v>1.05</v>
      </c>
      <c r="AC59">
        <v>0</v>
      </c>
      <c r="AD59">
        <v>0</v>
      </c>
      <c r="AE59">
        <v>0</v>
      </c>
      <c r="AF59">
        <v>1</v>
      </c>
      <c r="AG59">
        <v>0</v>
      </c>
      <c r="AH59">
        <v>0</v>
      </c>
      <c r="AI59">
        <v>1</v>
      </c>
      <c r="AJ59">
        <v>1</v>
      </c>
      <c r="AK59">
        <v>1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6</v>
      </c>
      <c r="AT59">
        <v>0.01</v>
      </c>
      <c r="AU59" t="s">
        <v>6</v>
      </c>
      <c r="AV59">
        <v>0</v>
      </c>
      <c r="AW59">
        <v>2</v>
      </c>
      <c r="AX59">
        <v>44171367</v>
      </c>
      <c r="AY59">
        <v>1</v>
      </c>
      <c r="AZ59">
        <v>0</v>
      </c>
      <c r="BA59">
        <v>57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Y59*Source!I54</f>
        <v>1.36</v>
      </c>
      <c r="CY59">
        <f t="shared" si="16"/>
        <v>1.05</v>
      </c>
      <c r="CZ59">
        <f t="shared" si="17"/>
        <v>1</v>
      </c>
      <c r="DA59">
        <f t="shared" si="18"/>
        <v>1</v>
      </c>
      <c r="DB59">
        <f t="shared" si="11"/>
        <v>0.01</v>
      </c>
      <c r="DC59">
        <f t="shared" si="12"/>
        <v>0</v>
      </c>
    </row>
    <row r="60" spans="1:107" x14ac:dyDescent="0.2">
      <c r="A60">
        <f>ROW(Source!A54)</f>
        <v>54</v>
      </c>
      <c r="B60">
        <v>44175489</v>
      </c>
      <c r="C60">
        <v>44171343</v>
      </c>
      <c r="D60">
        <v>35043080</v>
      </c>
      <c r="E60">
        <v>1</v>
      </c>
      <c r="F60">
        <v>1</v>
      </c>
      <c r="G60">
        <v>34959076</v>
      </c>
      <c r="H60">
        <v>3</v>
      </c>
      <c r="I60" t="s">
        <v>257</v>
      </c>
      <c r="J60" t="s">
        <v>258</v>
      </c>
      <c r="K60" t="s">
        <v>259</v>
      </c>
      <c r="L60">
        <v>1348</v>
      </c>
      <c r="N60">
        <v>1009</v>
      </c>
      <c r="O60" t="s">
        <v>260</v>
      </c>
      <c r="P60" t="s">
        <v>260</v>
      </c>
      <c r="Q60">
        <v>1000</v>
      </c>
      <c r="W60">
        <v>0</v>
      </c>
      <c r="X60">
        <v>1678700400</v>
      </c>
      <c r="Y60">
        <v>2.3014699999999999E-3</v>
      </c>
      <c r="AA60">
        <v>21697.05</v>
      </c>
      <c r="AB60">
        <v>0</v>
      </c>
      <c r="AC60">
        <v>0</v>
      </c>
      <c r="AD60">
        <v>0</v>
      </c>
      <c r="AE60">
        <v>5778.3</v>
      </c>
      <c r="AF60">
        <v>0</v>
      </c>
      <c r="AG60">
        <v>0</v>
      </c>
      <c r="AH60">
        <v>0</v>
      </c>
      <c r="AI60">
        <v>3.48</v>
      </c>
      <c r="AJ60">
        <v>1</v>
      </c>
      <c r="AK60">
        <v>1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6</v>
      </c>
      <c r="AT60">
        <v>2.3014699999999999E-3</v>
      </c>
      <c r="AU60" t="s">
        <v>6</v>
      </c>
      <c r="AV60">
        <v>0</v>
      </c>
      <c r="AW60">
        <v>2</v>
      </c>
      <c r="AX60">
        <v>44171368</v>
      </c>
      <c r="AY60">
        <v>1</v>
      </c>
      <c r="AZ60">
        <v>0</v>
      </c>
      <c r="BA60">
        <v>58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Y60*Source!I54</f>
        <v>0.31299991999999999</v>
      </c>
      <c r="CY60">
        <f t="shared" ref="CY60:CY65" si="19">AA60</f>
        <v>21697.05</v>
      </c>
      <c r="CZ60">
        <f t="shared" ref="CZ60:CZ65" si="20">AE60</f>
        <v>5778.3</v>
      </c>
      <c r="DA60">
        <f t="shared" ref="DA60:DA65" si="21">AI60</f>
        <v>3.48</v>
      </c>
      <c r="DB60">
        <f t="shared" si="11"/>
        <v>13.3</v>
      </c>
      <c r="DC60">
        <f t="shared" si="12"/>
        <v>0</v>
      </c>
    </row>
    <row r="61" spans="1:107" x14ac:dyDescent="0.2">
      <c r="A61">
        <f>ROW(Source!A54)</f>
        <v>54</v>
      </c>
      <c r="B61">
        <v>44175489</v>
      </c>
      <c r="C61">
        <v>44171343</v>
      </c>
      <c r="D61">
        <v>35043897</v>
      </c>
      <c r="E61">
        <v>1</v>
      </c>
      <c r="F61">
        <v>1</v>
      </c>
      <c r="G61">
        <v>34959076</v>
      </c>
      <c r="H61">
        <v>3</v>
      </c>
      <c r="I61" t="s">
        <v>261</v>
      </c>
      <c r="J61" t="s">
        <v>262</v>
      </c>
      <c r="K61" t="s">
        <v>263</v>
      </c>
      <c r="L61">
        <v>1339</v>
      </c>
      <c r="N61">
        <v>1007</v>
      </c>
      <c r="O61" t="s">
        <v>43</v>
      </c>
      <c r="P61" t="s">
        <v>43</v>
      </c>
      <c r="Q61">
        <v>1</v>
      </c>
      <c r="W61">
        <v>0</v>
      </c>
      <c r="X61">
        <v>-862991314</v>
      </c>
      <c r="Y61">
        <v>3.15</v>
      </c>
      <c r="AA61">
        <v>34.79</v>
      </c>
      <c r="AB61">
        <v>0</v>
      </c>
      <c r="AC61">
        <v>0</v>
      </c>
      <c r="AD61">
        <v>0</v>
      </c>
      <c r="AE61">
        <v>7.07</v>
      </c>
      <c r="AF61">
        <v>0</v>
      </c>
      <c r="AG61">
        <v>0</v>
      </c>
      <c r="AH61">
        <v>0</v>
      </c>
      <c r="AI61">
        <v>4.5599999999999996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0</v>
      </c>
      <c r="AQ61">
        <v>0</v>
      </c>
      <c r="AR61">
        <v>0</v>
      </c>
      <c r="AS61" t="s">
        <v>6</v>
      </c>
      <c r="AT61">
        <v>3.15</v>
      </c>
      <c r="AU61" t="s">
        <v>6</v>
      </c>
      <c r="AV61">
        <v>0</v>
      </c>
      <c r="AW61">
        <v>2</v>
      </c>
      <c r="AX61">
        <v>44171369</v>
      </c>
      <c r="AY61">
        <v>1</v>
      </c>
      <c r="AZ61">
        <v>0</v>
      </c>
      <c r="BA61">
        <v>59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Y61*Source!I54</f>
        <v>428.4</v>
      </c>
      <c r="CY61">
        <f t="shared" si="19"/>
        <v>34.79</v>
      </c>
      <c r="CZ61">
        <f t="shared" si="20"/>
        <v>7.07</v>
      </c>
      <c r="DA61">
        <f t="shared" si="21"/>
        <v>4.5599999999999996</v>
      </c>
      <c r="DB61">
        <f t="shared" si="11"/>
        <v>22.27</v>
      </c>
      <c r="DC61">
        <f t="shared" si="12"/>
        <v>0</v>
      </c>
    </row>
    <row r="62" spans="1:107" x14ac:dyDescent="0.2">
      <c r="A62">
        <f>ROW(Source!A54)</f>
        <v>54</v>
      </c>
      <c r="B62">
        <v>44175489</v>
      </c>
      <c r="C62">
        <v>44171343</v>
      </c>
      <c r="D62">
        <v>35042352</v>
      </c>
      <c r="E62">
        <v>1</v>
      </c>
      <c r="F62">
        <v>1</v>
      </c>
      <c r="G62">
        <v>34959076</v>
      </c>
      <c r="H62">
        <v>3</v>
      </c>
      <c r="I62" t="s">
        <v>71</v>
      </c>
      <c r="J62" t="s">
        <v>74</v>
      </c>
      <c r="K62" t="s">
        <v>72</v>
      </c>
      <c r="L62">
        <v>1346</v>
      </c>
      <c r="N62">
        <v>1009</v>
      </c>
      <c r="O62" t="s">
        <v>73</v>
      </c>
      <c r="P62" t="s">
        <v>73</v>
      </c>
      <c r="Q62">
        <v>1</v>
      </c>
      <c r="W62">
        <v>0</v>
      </c>
      <c r="X62">
        <v>185995085</v>
      </c>
      <c r="Y62">
        <v>179.2</v>
      </c>
      <c r="AA62">
        <v>49.01</v>
      </c>
      <c r="AB62">
        <v>0</v>
      </c>
      <c r="AC62">
        <v>0</v>
      </c>
      <c r="AD62">
        <v>0</v>
      </c>
      <c r="AE62">
        <v>11.3</v>
      </c>
      <c r="AF62">
        <v>0</v>
      </c>
      <c r="AG62">
        <v>0</v>
      </c>
      <c r="AH62">
        <v>0</v>
      </c>
      <c r="AI62">
        <v>4.0199999999999996</v>
      </c>
      <c r="AJ62">
        <v>1</v>
      </c>
      <c r="AK62">
        <v>1</v>
      </c>
      <c r="AL62">
        <v>1</v>
      </c>
      <c r="AN62">
        <v>0</v>
      </c>
      <c r="AO62">
        <v>0</v>
      </c>
      <c r="AP62">
        <v>0</v>
      </c>
      <c r="AQ62">
        <v>0</v>
      </c>
      <c r="AR62">
        <v>0</v>
      </c>
      <c r="AS62" t="s">
        <v>6</v>
      </c>
      <c r="AT62">
        <v>179.2</v>
      </c>
      <c r="AU62" t="s">
        <v>6</v>
      </c>
      <c r="AV62">
        <v>0</v>
      </c>
      <c r="AW62">
        <v>1</v>
      </c>
      <c r="AX62">
        <v>-1</v>
      </c>
      <c r="AY62">
        <v>0</v>
      </c>
      <c r="AZ62">
        <v>0</v>
      </c>
      <c r="BA62" t="s">
        <v>6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Y62*Source!I54</f>
        <v>24371.199999999997</v>
      </c>
      <c r="CY62">
        <f t="shared" si="19"/>
        <v>49.01</v>
      </c>
      <c r="CZ62">
        <f t="shared" si="20"/>
        <v>11.3</v>
      </c>
      <c r="DA62">
        <f t="shared" si="21"/>
        <v>4.0199999999999996</v>
      </c>
      <c r="DB62">
        <f t="shared" si="11"/>
        <v>2024.96</v>
      </c>
      <c r="DC62">
        <f t="shared" si="12"/>
        <v>0</v>
      </c>
    </row>
    <row r="63" spans="1:107" x14ac:dyDescent="0.2">
      <c r="A63">
        <f>ROW(Source!A54)</f>
        <v>54</v>
      </c>
      <c r="B63">
        <v>44175489</v>
      </c>
      <c r="C63">
        <v>44171343</v>
      </c>
      <c r="D63">
        <v>35041443</v>
      </c>
      <c r="E63">
        <v>1</v>
      </c>
      <c r="F63">
        <v>1</v>
      </c>
      <c r="G63">
        <v>34959076</v>
      </c>
      <c r="H63">
        <v>3</v>
      </c>
      <c r="I63" t="s">
        <v>264</v>
      </c>
      <c r="J63" t="s">
        <v>265</v>
      </c>
      <c r="K63" t="s">
        <v>266</v>
      </c>
      <c r="L63">
        <v>1346</v>
      </c>
      <c r="N63">
        <v>1009</v>
      </c>
      <c r="O63" t="s">
        <v>73</v>
      </c>
      <c r="P63" t="s">
        <v>73</v>
      </c>
      <c r="Q63">
        <v>1</v>
      </c>
      <c r="W63">
        <v>0</v>
      </c>
      <c r="X63">
        <v>-754417250</v>
      </c>
      <c r="Y63">
        <v>4.6699999999999998E-2</v>
      </c>
      <c r="AA63">
        <v>49.56</v>
      </c>
      <c r="AB63">
        <v>0</v>
      </c>
      <c r="AC63">
        <v>0</v>
      </c>
      <c r="AD63">
        <v>0</v>
      </c>
      <c r="AE63">
        <v>7.48</v>
      </c>
      <c r="AF63">
        <v>0</v>
      </c>
      <c r="AG63">
        <v>0</v>
      </c>
      <c r="AH63">
        <v>0</v>
      </c>
      <c r="AI63">
        <v>6.14</v>
      </c>
      <c r="AJ63">
        <v>1</v>
      </c>
      <c r="AK63">
        <v>1</v>
      </c>
      <c r="AL63">
        <v>1</v>
      </c>
      <c r="AN63">
        <v>0</v>
      </c>
      <c r="AO63">
        <v>1</v>
      </c>
      <c r="AP63">
        <v>0</v>
      </c>
      <c r="AQ63">
        <v>0</v>
      </c>
      <c r="AR63">
        <v>0</v>
      </c>
      <c r="AS63" t="s">
        <v>6</v>
      </c>
      <c r="AT63">
        <v>4.6699999999999998E-2</v>
      </c>
      <c r="AU63" t="s">
        <v>6</v>
      </c>
      <c r="AV63">
        <v>0</v>
      </c>
      <c r="AW63">
        <v>2</v>
      </c>
      <c r="AX63">
        <v>44171370</v>
      </c>
      <c r="AY63">
        <v>1</v>
      </c>
      <c r="AZ63">
        <v>0</v>
      </c>
      <c r="BA63">
        <v>60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Y63*Source!I54</f>
        <v>6.3511999999999995</v>
      </c>
      <c r="CY63">
        <f t="shared" si="19"/>
        <v>49.56</v>
      </c>
      <c r="CZ63">
        <f t="shared" si="20"/>
        <v>7.48</v>
      </c>
      <c r="DA63">
        <f t="shared" si="21"/>
        <v>6.14</v>
      </c>
      <c r="DB63">
        <f t="shared" si="11"/>
        <v>0.35</v>
      </c>
      <c r="DC63">
        <f t="shared" si="12"/>
        <v>0</v>
      </c>
    </row>
    <row r="64" spans="1:107" x14ac:dyDescent="0.2">
      <c r="A64">
        <f>ROW(Source!A54)</f>
        <v>54</v>
      </c>
      <c r="B64">
        <v>44175489</v>
      </c>
      <c r="C64">
        <v>44171343</v>
      </c>
      <c r="D64">
        <v>35041111</v>
      </c>
      <c r="E64">
        <v>1</v>
      </c>
      <c r="F64">
        <v>1</v>
      </c>
      <c r="G64">
        <v>34959076</v>
      </c>
      <c r="H64">
        <v>3</v>
      </c>
      <c r="I64" t="s">
        <v>81</v>
      </c>
      <c r="J64" t="s">
        <v>84</v>
      </c>
      <c r="K64" t="s">
        <v>82</v>
      </c>
      <c r="L64">
        <v>1296</v>
      </c>
      <c r="N64">
        <v>1002</v>
      </c>
      <c r="O64" t="s">
        <v>83</v>
      </c>
      <c r="P64" t="s">
        <v>83</v>
      </c>
      <c r="Q64">
        <v>1</v>
      </c>
      <c r="W64">
        <v>0</v>
      </c>
      <c r="X64">
        <v>-360054125</v>
      </c>
      <c r="Y64">
        <v>9.8176000000000005</v>
      </c>
      <c r="AA64">
        <v>482.62</v>
      </c>
      <c r="AB64">
        <v>0</v>
      </c>
      <c r="AC64">
        <v>0</v>
      </c>
      <c r="AD64">
        <v>0</v>
      </c>
      <c r="AE64">
        <v>95.37</v>
      </c>
      <c r="AF64">
        <v>0</v>
      </c>
      <c r="AG64">
        <v>0</v>
      </c>
      <c r="AH64">
        <v>0</v>
      </c>
      <c r="AI64">
        <v>4.6900000000000004</v>
      </c>
      <c r="AJ64">
        <v>1</v>
      </c>
      <c r="AK64">
        <v>1</v>
      </c>
      <c r="AL64">
        <v>1</v>
      </c>
      <c r="AN64">
        <v>0</v>
      </c>
      <c r="AO64">
        <v>0</v>
      </c>
      <c r="AP64">
        <v>0</v>
      </c>
      <c r="AQ64">
        <v>0</v>
      </c>
      <c r="AR64">
        <v>0</v>
      </c>
      <c r="AS64" t="s">
        <v>6</v>
      </c>
      <c r="AT64">
        <v>9.8176000000000005</v>
      </c>
      <c r="AU64" t="s">
        <v>6</v>
      </c>
      <c r="AV64">
        <v>0</v>
      </c>
      <c r="AW64">
        <v>1</v>
      </c>
      <c r="AX64">
        <v>-1</v>
      </c>
      <c r="AY64">
        <v>0</v>
      </c>
      <c r="AZ64">
        <v>0</v>
      </c>
      <c r="BA64" t="s">
        <v>6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Y64*Source!I54</f>
        <v>1335.1936000000001</v>
      </c>
      <c r="CY64">
        <f t="shared" si="19"/>
        <v>482.62</v>
      </c>
      <c r="CZ64">
        <f t="shared" si="20"/>
        <v>95.37</v>
      </c>
      <c r="DA64">
        <f t="shared" si="21"/>
        <v>4.6900000000000004</v>
      </c>
      <c r="DB64">
        <f t="shared" si="11"/>
        <v>936.3</v>
      </c>
      <c r="DC64">
        <f t="shared" si="12"/>
        <v>0</v>
      </c>
    </row>
    <row r="65" spans="1:107" x14ac:dyDescent="0.2">
      <c r="A65">
        <f>ROW(Source!A54)</f>
        <v>54</v>
      </c>
      <c r="B65">
        <v>44175489</v>
      </c>
      <c r="C65">
        <v>44171343</v>
      </c>
      <c r="D65">
        <v>35046588</v>
      </c>
      <c r="E65">
        <v>1</v>
      </c>
      <c r="F65">
        <v>1</v>
      </c>
      <c r="G65">
        <v>34959076</v>
      </c>
      <c r="H65">
        <v>3</v>
      </c>
      <c r="I65" t="s">
        <v>76</v>
      </c>
      <c r="J65" t="s">
        <v>79</v>
      </c>
      <c r="K65" t="s">
        <v>77</v>
      </c>
      <c r="L65">
        <v>1301</v>
      </c>
      <c r="N65">
        <v>1003</v>
      </c>
      <c r="O65" t="s">
        <v>78</v>
      </c>
      <c r="P65" t="s">
        <v>78</v>
      </c>
      <c r="Q65">
        <v>1</v>
      </c>
      <c r="W65">
        <v>0</v>
      </c>
      <c r="X65">
        <v>-203233444</v>
      </c>
      <c r="Y65">
        <v>3.0441180000000001</v>
      </c>
      <c r="AA65">
        <v>2273.37</v>
      </c>
      <c r="AB65">
        <v>0</v>
      </c>
      <c r="AC65">
        <v>0</v>
      </c>
      <c r="AD65">
        <v>0</v>
      </c>
      <c r="AE65">
        <v>707.02</v>
      </c>
      <c r="AF65">
        <v>0</v>
      </c>
      <c r="AG65">
        <v>0</v>
      </c>
      <c r="AH65">
        <v>0</v>
      </c>
      <c r="AI65">
        <v>2.98</v>
      </c>
      <c r="AJ65">
        <v>1</v>
      </c>
      <c r="AK65">
        <v>1</v>
      </c>
      <c r="AL65">
        <v>1</v>
      </c>
      <c r="AN65">
        <v>0</v>
      </c>
      <c r="AO65">
        <v>0</v>
      </c>
      <c r="AP65">
        <v>0</v>
      </c>
      <c r="AQ65">
        <v>0</v>
      </c>
      <c r="AR65">
        <v>0</v>
      </c>
      <c r="AS65" t="s">
        <v>6</v>
      </c>
      <c r="AT65">
        <v>3.0441180000000001</v>
      </c>
      <c r="AU65" t="s">
        <v>6</v>
      </c>
      <c r="AV65">
        <v>0</v>
      </c>
      <c r="AW65">
        <v>1</v>
      </c>
      <c r="AX65">
        <v>-1</v>
      </c>
      <c r="AY65">
        <v>0</v>
      </c>
      <c r="AZ65">
        <v>0</v>
      </c>
      <c r="BA65" t="s">
        <v>6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Y65*Source!I54</f>
        <v>414.00004799999999</v>
      </c>
      <c r="CY65">
        <f t="shared" si="19"/>
        <v>2273.37</v>
      </c>
      <c r="CZ65">
        <f t="shared" si="20"/>
        <v>707.02</v>
      </c>
      <c r="DA65">
        <f t="shared" si="21"/>
        <v>2.98</v>
      </c>
      <c r="DB65">
        <f t="shared" ref="DB65:DB90" si="22">ROUND(ROUND(AT65*CZ65,2),6)</f>
        <v>2152.25</v>
      </c>
      <c r="DC65">
        <f t="shared" ref="DC65:DC90" si="23">ROUND(ROUND(AT65*AG65,2),6)</f>
        <v>0</v>
      </c>
    </row>
    <row r="66" spans="1:107" x14ac:dyDescent="0.2">
      <c r="A66">
        <f>ROW(Source!A58)</f>
        <v>58</v>
      </c>
      <c r="B66">
        <v>44175489</v>
      </c>
      <c r="C66">
        <v>44171377</v>
      </c>
      <c r="D66">
        <v>35065183</v>
      </c>
      <c r="E66">
        <v>1</v>
      </c>
      <c r="F66">
        <v>1</v>
      </c>
      <c r="G66">
        <v>34959076</v>
      </c>
      <c r="H66">
        <v>2</v>
      </c>
      <c r="I66" t="s">
        <v>267</v>
      </c>
      <c r="J66" t="s">
        <v>268</v>
      </c>
      <c r="K66" t="s">
        <v>269</v>
      </c>
      <c r="L66">
        <v>1367</v>
      </c>
      <c r="N66">
        <v>1011</v>
      </c>
      <c r="O66" t="s">
        <v>232</v>
      </c>
      <c r="P66" t="s">
        <v>232</v>
      </c>
      <c r="Q66">
        <v>1</v>
      </c>
      <c r="W66">
        <v>0</v>
      </c>
      <c r="X66">
        <v>2118325711</v>
      </c>
      <c r="Y66">
        <v>1.82</v>
      </c>
      <c r="AA66">
        <v>0</v>
      </c>
      <c r="AB66">
        <v>35.71</v>
      </c>
      <c r="AC66">
        <v>7.32</v>
      </c>
      <c r="AD66">
        <v>0</v>
      </c>
      <c r="AE66">
        <v>0</v>
      </c>
      <c r="AF66">
        <v>14.12</v>
      </c>
      <c r="AG66">
        <v>0.32</v>
      </c>
      <c r="AH66">
        <v>0</v>
      </c>
      <c r="AI66">
        <v>1</v>
      </c>
      <c r="AJ66">
        <v>2.37</v>
      </c>
      <c r="AK66">
        <v>21.43</v>
      </c>
      <c r="AL66">
        <v>1</v>
      </c>
      <c r="AN66">
        <v>0</v>
      </c>
      <c r="AO66">
        <v>1</v>
      </c>
      <c r="AP66">
        <v>0</v>
      </c>
      <c r="AQ66">
        <v>0</v>
      </c>
      <c r="AR66">
        <v>0</v>
      </c>
      <c r="AS66" t="s">
        <v>6</v>
      </c>
      <c r="AT66">
        <v>1.82</v>
      </c>
      <c r="AU66" t="s">
        <v>6</v>
      </c>
      <c r="AV66">
        <v>0</v>
      </c>
      <c r="AW66">
        <v>2</v>
      </c>
      <c r="AX66">
        <v>44171379</v>
      </c>
      <c r="AY66">
        <v>1</v>
      </c>
      <c r="AZ66">
        <v>0</v>
      </c>
      <c r="BA66">
        <v>64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Y66*Source!I58</f>
        <v>60.06</v>
      </c>
      <c r="CY66">
        <f>AB66</f>
        <v>35.71</v>
      </c>
      <c r="CZ66">
        <f>AF66</f>
        <v>14.12</v>
      </c>
      <c r="DA66">
        <f>AJ66</f>
        <v>2.37</v>
      </c>
      <c r="DB66">
        <f t="shared" si="22"/>
        <v>25.7</v>
      </c>
      <c r="DC66">
        <f t="shared" si="23"/>
        <v>0.57999999999999996</v>
      </c>
    </row>
    <row r="67" spans="1:107" x14ac:dyDescent="0.2">
      <c r="A67">
        <f>ROW(Source!A59)</f>
        <v>59</v>
      </c>
      <c r="B67">
        <v>44175489</v>
      </c>
      <c r="C67">
        <v>44171380</v>
      </c>
      <c r="D67">
        <v>34984826</v>
      </c>
      <c r="E67">
        <v>34959076</v>
      </c>
      <c r="F67">
        <v>1</v>
      </c>
      <c r="G67">
        <v>34959076</v>
      </c>
      <c r="H67">
        <v>1</v>
      </c>
      <c r="I67" t="s">
        <v>224</v>
      </c>
      <c r="J67" t="s">
        <v>6</v>
      </c>
      <c r="K67" t="s">
        <v>225</v>
      </c>
      <c r="L67">
        <v>1191</v>
      </c>
      <c r="N67">
        <v>1013</v>
      </c>
      <c r="O67" t="s">
        <v>226</v>
      </c>
      <c r="P67" t="s">
        <v>226</v>
      </c>
      <c r="Q67">
        <v>1</v>
      </c>
      <c r="W67">
        <v>0</v>
      </c>
      <c r="X67">
        <v>476480486</v>
      </c>
      <c r="Y67">
        <v>0.26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1</v>
      </c>
      <c r="AJ67">
        <v>1</v>
      </c>
      <c r="AK67">
        <v>1</v>
      </c>
      <c r="AL67">
        <v>1</v>
      </c>
      <c r="AN67">
        <v>0</v>
      </c>
      <c r="AO67">
        <v>1</v>
      </c>
      <c r="AP67">
        <v>0</v>
      </c>
      <c r="AQ67">
        <v>0</v>
      </c>
      <c r="AR67">
        <v>0</v>
      </c>
      <c r="AS67" t="s">
        <v>6</v>
      </c>
      <c r="AT67">
        <v>0.26</v>
      </c>
      <c r="AU67" t="s">
        <v>6</v>
      </c>
      <c r="AV67">
        <v>1</v>
      </c>
      <c r="AW67">
        <v>2</v>
      </c>
      <c r="AX67">
        <v>44171383</v>
      </c>
      <c r="AY67">
        <v>1</v>
      </c>
      <c r="AZ67">
        <v>0</v>
      </c>
      <c r="BA67">
        <v>65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Y67*Source!I59</f>
        <v>0.26</v>
      </c>
      <c r="CY67">
        <f>AD67</f>
        <v>0</v>
      </c>
      <c r="CZ67">
        <f>AH67</f>
        <v>0</v>
      </c>
      <c r="DA67">
        <f>AL67</f>
        <v>1</v>
      </c>
      <c r="DB67">
        <f t="shared" si="22"/>
        <v>0</v>
      </c>
      <c r="DC67">
        <f t="shared" si="23"/>
        <v>0</v>
      </c>
    </row>
    <row r="68" spans="1:107" x14ac:dyDescent="0.2">
      <c r="A68">
        <f>ROW(Source!A59)</f>
        <v>59</v>
      </c>
      <c r="B68">
        <v>44175489</v>
      </c>
      <c r="C68">
        <v>44171380</v>
      </c>
      <c r="D68">
        <v>38777804</v>
      </c>
      <c r="E68">
        <v>1</v>
      </c>
      <c r="F68">
        <v>1</v>
      </c>
      <c r="G68">
        <v>34959076</v>
      </c>
      <c r="H68">
        <v>2</v>
      </c>
      <c r="I68" t="s">
        <v>229</v>
      </c>
      <c r="J68" t="s">
        <v>230</v>
      </c>
      <c r="K68" t="s">
        <v>231</v>
      </c>
      <c r="L68">
        <v>1367</v>
      </c>
      <c r="N68">
        <v>1011</v>
      </c>
      <c r="O68" t="s">
        <v>232</v>
      </c>
      <c r="P68" t="s">
        <v>232</v>
      </c>
      <c r="Q68">
        <v>1</v>
      </c>
      <c r="W68">
        <v>0</v>
      </c>
      <c r="X68">
        <v>1357638705</v>
      </c>
      <c r="Y68">
        <v>0.26</v>
      </c>
      <c r="AA68">
        <v>0</v>
      </c>
      <c r="AB68">
        <v>12038.08</v>
      </c>
      <c r="AC68">
        <v>1669.55</v>
      </c>
      <c r="AD68">
        <v>0</v>
      </c>
      <c r="AE68">
        <v>0</v>
      </c>
      <c r="AF68">
        <v>1948.76</v>
      </c>
      <c r="AG68">
        <v>74.41</v>
      </c>
      <c r="AH68">
        <v>0</v>
      </c>
      <c r="AI68">
        <v>1</v>
      </c>
      <c r="AJ68">
        <v>5.9</v>
      </c>
      <c r="AK68">
        <v>21.43</v>
      </c>
      <c r="AL68">
        <v>1</v>
      </c>
      <c r="AN68">
        <v>0</v>
      </c>
      <c r="AO68">
        <v>1</v>
      </c>
      <c r="AP68">
        <v>0</v>
      </c>
      <c r="AQ68">
        <v>0</v>
      </c>
      <c r="AR68">
        <v>0</v>
      </c>
      <c r="AS68" t="s">
        <v>6</v>
      </c>
      <c r="AT68">
        <v>0.26</v>
      </c>
      <c r="AU68" t="s">
        <v>6</v>
      </c>
      <c r="AV68">
        <v>0</v>
      </c>
      <c r="AW68">
        <v>2</v>
      </c>
      <c r="AX68">
        <v>44171384</v>
      </c>
      <c r="AY68">
        <v>1</v>
      </c>
      <c r="AZ68">
        <v>0</v>
      </c>
      <c r="BA68">
        <v>66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Y68*Source!I59</f>
        <v>0.26</v>
      </c>
      <c r="CY68">
        <f>AB68</f>
        <v>12038.08</v>
      </c>
      <c r="CZ68">
        <f>AF68</f>
        <v>1948.76</v>
      </c>
      <c r="DA68">
        <f>AJ68</f>
        <v>5.9</v>
      </c>
      <c r="DB68">
        <f t="shared" si="22"/>
        <v>506.68</v>
      </c>
      <c r="DC68">
        <f t="shared" si="23"/>
        <v>19.350000000000001</v>
      </c>
    </row>
    <row r="69" spans="1:107" x14ac:dyDescent="0.2">
      <c r="A69">
        <f>ROW(Source!A61)</f>
        <v>61</v>
      </c>
      <c r="B69">
        <v>44175489</v>
      </c>
      <c r="C69">
        <v>44171386</v>
      </c>
      <c r="D69">
        <v>34984826</v>
      </c>
      <c r="E69">
        <v>34959076</v>
      </c>
      <c r="F69">
        <v>1</v>
      </c>
      <c r="G69">
        <v>34959076</v>
      </c>
      <c r="H69">
        <v>1</v>
      </c>
      <c r="I69" t="s">
        <v>224</v>
      </c>
      <c r="J69" t="s">
        <v>6</v>
      </c>
      <c r="K69" t="s">
        <v>225</v>
      </c>
      <c r="L69">
        <v>1191</v>
      </c>
      <c r="N69">
        <v>1013</v>
      </c>
      <c r="O69" t="s">
        <v>226</v>
      </c>
      <c r="P69" t="s">
        <v>226</v>
      </c>
      <c r="Q69">
        <v>1</v>
      </c>
      <c r="W69">
        <v>0</v>
      </c>
      <c r="X69">
        <v>476480486</v>
      </c>
      <c r="Y69">
        <v>0.6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1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0</v>
      </c>
      <c r="AQ69">
        <v>0</v>
      </c>
      <c r="AR69">
        <v>0</v>
      </c>
      <c r="AS69" t="s">
        <v>6</v>
      </c>
      <c r="AT69">
        <v>0.6</v>
      </c>
      <c r="AU69" t="s">
        <v>6</v>
      </c>
      <c r="AV69">
        <v>1</v>
      </c>
      <c r="AW69">
        <v>2</v>
      </c>
      <c r="AX69">
        <v>44171390</v>
      </c>
      <c r="AY69">
        <v>1</v>
      </c>
      <c r="AZ69">
        <v>0</v>
      </c>
      <c r="BA69">
        <v>67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Y69*Source!I61</f>
        <v>0.6</v>
      </c>
      <c r="CY69">
        <f>AD69</f>
        <v>0</v>
      </c>
      <c r="CZ69">
        <f>AH69</f>
        <v>0</v>
      </c>
      <c r="DA69">
        <f>AL69</f>
        <v>1</v>
      </c>
      <c r="DB69">
        <f t="shared" si="22"/>
        <v>0</v>
      </c>
      <c r="DC69">
        <f t="shared" si="23"/>
        <v>0</v>
      </c>
    </row>
    <row r="70" spans="1:107" x14ac:dyDescent="0.2">
      <c r="A70">
        <f>ROW(Source!A61)</f>
        <v>61</v>
      </c>
      <c r="B70">
        <v>44175489</v>
      </c>
      <c r="C70">
        <v>44171386</v>
      </c>
      <c r="D70">
        <v>38777804</v>
      </c>
      <c r="E70">
        <v>1</v>
      </c>
      <c r="F70">
        <v>1</v>
      </c>
      <c r="G70">
        <v>34959076</v>
      </c>
      <c r="H70">
        <v>2</v>
      </c>
      <c r="I70" t="s">
        <v>229</v>
      </c>
      <c r="J70" t="s">
        <v>230</v>
      </c>
      <c r="K70" t="s">
        <v>231</v>
      </c>
      <c r="L70">
        <v>1367</v>
      </c>
      <c r="N70">
        <v>1011</v>
      </c>
      <c r="O70" t="s">
        <v>232</v>
      </c>
      <c r="P70" t="s">
        <v>232</v>
      </c>
      <c r="Q70">
        <v>1</v>
      </c>
      <c r="W70">
        <v>0</v>
      </c>
      <c r="X70">
        <v>1357638705</v>
      </c>
      <c r="Y70">
        <v>0.6</v>
      </c>
      <c r="AA70">
        <v>0</v>
      </c>
      <c r="AB70">
        <v>12038.08</v>
      </c>
      <c r="AC70">
        <v>1669.55</v>
      </c>
      <c r="AD70">
        <v>0</v>
      </c>
      <c r="AE70">
        <v>0</v>
      </c>
      <c r="AF70">
        <v>1948.76</v>
      </c>
      <c r="AG70">
        <v>74.41</v>
      </c>
      <c r="AH70">
        <v>0</v>
      </c>
      <c r="AI70">
        <v>1</v>
      </c>
      <c r="AJ70">
        <v>5.9</v>
      </c>
      <c r="AK70">
        <v>21.43</v>
      </c>
      <c r="AL70">
        <v>1</v>
      </c>
      <c r="AN70">
        <v>0</v>
      </c>
      <c r="AO70">
        <v>1</v>
      </c>
      <c r="AP70">
        <v>0</v>
      </c>
      <c r="AQ70">
        <v>0</v>
      </c>
      <c r="AR70">
        <v>0</v>
      </c>
      <c r="AS70" t="s">
        <v>6</v>
      </c>
      <c r="AT70">
        <v>0.6</v>
      </c>
      <c r="AU70" t="s">
        <v>6</v>
      </c>
      <c r="AV70">
        <v>0</v>
      </c>
      <c r="AW70">
        <v>2</v>
      </c>
      <c r="AX70">
        <v>44171391</v>
      </c>
      <c r="AY70">
        <v>1</v>
      </c>
      <c r="AZ70">
        <v>0</v>
      </c>
      <c r="BA70">
        <v>68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Y70*Source!I61</f>
        <v>0.6</v>
      </c>
      <c r="CY70">
        <f>AB70</f>
        <v>12038.08</v>
      </c>
      <c r="CZ70">
        <f>AF70</f>
        <v>1948.76</v>
      </c>
      <c r="DA70">
        <f>AJ70</f>
        <v>5.9</v>
      </c>
      <c r="DB70">
        <f t="shared" si="22"/>
        <v>1169.26</v>
      </c>
      <c r="DC70">
        <f t="shared" si="23"/>
        <v>44.65</v>
      </c>
    </row>
    <row r="71" spans="1:107" x14ac:dyDescent="0.2">
      <c r="A71">
        <f>ROW(Source!A61)</f>
        <v>61</v>
      </c>
      <c r="B71">
        <v>44175489</v>
      </c>
      <c r="C71">
        <v>44171386</v>
      </c>
      <c r="D71">
        <v>35065040</v>
      </c>
      <c r="E71">
        <v>1</v>
      </c>
      <c r="F71">
        <v>1</v>
      </c>
      <c r="G71">
        <v>34959076</v>
      </c>
      <c r="H71">
        <v>2</v>
      </c>
      <c r="I71" t="s">
        <v>233</v>
      </c>
      <c r="J71" t="s">
        <v>234</v>
      </c>
      <c r="K71" t="s">
        <v>235</v>
      </c>
      <c r="L71">
        <v>1367</v>
      </c>
      <c r="N71">
        <v>1011</v>
      </c>
      <c r="O71" t="s">
        <v>232</v>
      </c>
      <c r="P71" t="s">
        <v>232</v>
      </c>
      <c r="Q71">
        <v>1</v>
      </c>
      <c r="W71">
        <v>0</v>
      </c>
      <c r="X71">
        <v>776244494</v>
      </c>
      <c r="Y71">
        <v>0.57999999999999996</v>
      </c>
      <c r="AA71">
        <v>0</v>
      </c>
      <c r="AB71">
        <v>1198.1199999999999</v>
      </c>
      <c r="AC71">
        <v>540.29</v>
      </c>
      <c r="AD71">
        <v>0</v>
      </c>
      <c r="AE71">
        <v>0</v>
      </c>
      <c r="AF71">
        <v>117.73</v>
      </c>
      <c r="AG71">
        <v>24.08</v>
      </c>
      <c r="AH71">
        <v>0</v>
      </c>
      <c r="AI71">
        <v>1</v>
      </c>
      <c r="AJ71">
        <v>9.7200000000000006</v>
      </c>
      <c r="AK71">
        <v>21.43</v>
      </c>
      <c r="AL71">
        <v>1</v>
      </c>
      <c r="AN71">
        <v>0</v>
      </c>
      <c r="AO71">
        <v>1</v>
      </c>
      <c r="AP71">
        <v>0</v>
      </c>
      <c r="AQ71">
        <v>0</v>
      </c>
      <c r="AR71">
        <v>0</v>
      </c>
      <c r="AS71" t="s">
        <v>6</v>
      </c>
      <c r="AT71">
        <v>0.57999999999999996</v>
      </c>
      <c r="AU71" t="s">
        <v>6</v>
      </c>
      <c r="AV71">
        <v>0</v>
      </c>
      <c r="AW71">
        <v>2</v>
      </c>
      <c r="AX71">
        <v>44171392</v>
      </c>
      <c r="AY71">
        <v>1</v>
      </c>
      <c r="AZ71">
        <v>0</v>
      </c>
      <c r="BA71">
        <v>69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Y71*Source!I61</f>
        <v>0.57999999999999996</v>
      </c>
      <c r="CY71">
        <f>AB71</f>
        <v>1198.1199999999999</v>
      </c>
      <c r="CZ71">
        <f>AF71</f>
        <v>117.73</v>
      </c>
      <c r="DA71">
        <f>AJ71</f>
        <v>9.7200000000000006</v>
      </c>
      <c r="DB71">
        <f t="shared" si="22"/>
        <v>68.28</v>
      </c>
      <c r="DC71">
        <f t="shared" si="23"/>
        <v>13.97</v>
      </c>
    </row>
    <row r="72" spans="1:107" x14ac:dyDescent="0.2">
      <c r="A72">
        <f>ROW(Source!A62)</f>
        <v>62</v>
      </c>
      <c r="B72">
        <v>44175489</v>
      </c>
      <c r="C72">
        <v>44171393</v>
      </c>
      <c r="D72">
        <v>34984826</v>
      </c>
      <c r="E72">
        <v>34959076</v>
      </c>
      <c r="F72">
        <v>1</v>
      </c>
      <c r="G72">
        <v>34959076</v>
      </c>
      <c r="H72">
        <v>1</v>
      </c>
      <c r="I72" t="s">
        <v>224</v>
      </c>
      <c r="J72" t="s">
        <v>6</v>
      </c>
      <c r="K72" t="s">
        <v>225</v>
      </c>
      <c r="L72">
        <v>1191</v>
      </c>
      <c r="N72">
        <v>1013</v>
      </c>
      <c r="O72" t="s">
        <v>226</v>
      </c>
      <c r="P72" t="s">
        <v>226</v>
      </c>
      <c r="Q72">
        <v>1</v>
      </c>
      <c r="W72">
        <v>0</v>
      </c>
      <c r="X72">
        <v>476480486</v>
      </c>
      <c r="Y72">
        <v>2.2200000000000002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1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0</v>
      </c>
      <c r="AQ72">
        <v>0</v>
      </c>
      <c r="AR72">
        <v>0</v>
      </c>
      <c r="AS72" t="s">
        <v>6</v>
      </c>
      <c r="AT72">
        <v>2.2200000000000002</v>
      </c>
      <c r="AU72" t="s">
        <v>6</v>
      </c>
      <c r="AV72">
        <v>1</v>
      </c>
      <c r="AW72">
        <v>2</v>
      </c>
      <c r="AX72">
        <v>44171409</v>
      </c>
      <c r="AY72">
        <v>1</v>
      </c>
      <c r="AZ72">
        <v>0</v>
      </c>
      <c r="BA72">
        <v>70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Y72*Source!I62</f>
        <v>155.4</v>
      </c>
      <c r="CY72">
        <f>AD72</f>
        <v>0</v>
      </c>
      <c r="CZ72">
        <f>AH72</f>
        <v>0</v>
      </c>
      <c r="DA72">
        <f>AL72</f>
        <v>1</v>
      </c>
      <c r="DB72">
        <f t="shared" si="22"/>
        <v>0</v>
      </c>
      <c r="DC72">
        <f t="shared" si="23"/>
        <v>0</v>
      </c>
    </row>
    <row r="73" spans="1:107" x14ac:dyDescent="0.2">
      <c r="A73">
        <f>ROW(Source!A62)</f>
        <v>62</v>
      </c>
      <c r="B73">
        <v>44175489</v>
      </c>
      <c r="C73">
        <v>44171393</v>
      </c>
      <c r="D73">
        <v>35065139</v>
      </c>
      <c r="E73">
        <v>1</v>
      </c>
      <c r="F73">
        <v>1</v>
      </c>
      <c r="G73">
        <v>34959076</v>
      </c>
      <c r="H73">
        <v>2</v>
      </c>
      <c r="I73" t="s">
        <v>236</v>
      </c>
      <c r="J73" t="s">
        <v>237</v>
      </c>
      <c r="K73" t="s">
        <v>238</v>
      </c>
      <c r="L73">
        <v>1367</v>
      </c>
      <c r="N73">
        <v>1011</v>
      </c>
      <c r="O73" t="s">
        <v>232</v>
      </c>
      <c r="P73" t="s">
        <v>232</v>
      </c>
      <c r="Q73">
        <v>1</v>
      </c>
      <c r="W73">
        <v>0</v>
      </c>
      <c r="X73">
        <v>2037067470</v>
      </c>
      <c r="Y73">
        <v>0.21</v>
      </c>
      <c r="AA73">
        <v>0</v>
      </c>
      <c r="AB73">
        <v>427.9</v>
      </c>
      <c r="AC73">
        <v>336.56</v>
      </c>
      <c r="AD73">
        <v>0</v>
      </c>
      <c r="AE73">
        <v>0</v>
      </c>
      <c r="AF73">
        <v>50.27</v>
      </c>
      <c r="AG73">
        <v>15</v>
      </c>
      <c r="AH73">
        <v>0</v>
      </c>
      <c r="AI73">
        <v>1</v>
      </c>
      <c r="AJ73">
        <v>8.1300000000000008</v>
      </c>
      <c r="AK73">
        <v>21.43</v>
      </c>
      <c r="AL73">
        <v>1</v>
      </c>
      <c r="AN73">
        <v>0</v>
      </c>
      <c r="AO73">
        <v>1</v>
      </c>
      <c r="AP73">
        <v>0</v>
      </c>
      <c r="AQ73">
        <v>0</v>
      </c>
      <c r="AR73">
        <v>0</v>
      </c>
      <c r="AS73" t="s">
        <v>6</v>
      </c>
      <c r="AT73">
        <v>0.21</v>
      </c>
      <c r="AU73" t="s">
        <v>6</v>
      </c>
      <c r="AV73">
        <v>0</v>
      </c>
      <c r="AW73">
        <v>2</v>
      </c>
      <c r="AX73">
        <v>44171410</v>
      </c>
      <c r="AY73">
        <v>1</v>
      </c>
      <c r="AZ73">
        <v>0</v>
      </c>
      <c r="BA73">
        <v>71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Y73*Source!I62</f>
        <v>14.7</v>
      </c>
      <c r="CY73">
        <f t="shared" ref="CY73:CY80" si="24">AB73</f>
        <v>427.9</v>
      </c>
      <c r="CZ73">
        <f t="shared" ref="CZ73:CZ80" si="25">AF73</f>
        <v>50.27</v>
      </c>
      <c r="DA73">
        <f t="shared" ref="DA73:DA80" si="26">AJ73</f>
        <v>8.1300000000000008</v>
      </c>
      <c r="DB73">
        <f t="shared" si="22"/>
        <v>10.56</v>
      </c>
      <c r="DC73">
        <f t="shared" si="23"/>
        <v>3.15</v>
      </c>
    </row>
    <row r="74" spans="1:107" x14ac:dyDescent="0.2">
      <c r="A74">
        <f>ROW(Source!A62)</f>
        <v>62</v>
      </c>
      <c r="B74">
        <v>44175489</v>
      </c>
      <c r="C74">
        <v>44171393</v>
      </c>
      <c r="D74">
        <v>38777804</v>
      </c>
      <c r="E74">
        <v>1</v>
      </c>
      <c r="F74">
        <v>1</v>
      </c>
      <c r="G74">
        <v>34959076</v>
      </c>
      <c r="H74">
        <v>2</v>
      </c>
      <c r="I74" t="s">
        <v>229</v>
      </c>
      <c r="J74" t="s">
        <v>230</v>
      </c>
      <c r="K74" t="s">
        <v>231</v>
      </c>
      <c r="L74">
        <v>1367</v>
      </c>
      <c r="N74">
        <v>1011</v>
      </c>
      <c r="O74" t="s">
        <v>232</v>
      </c>
      <c r="P74" t="s">
        <v>232</v>
      </c>
      <c r="Q74">
        <v>1</v>
      </c>
      <c r="W74">
        <v>0</v>
      </c>
      <c r="X74">
        <v>1357638705</v>
      </c>
      <c r="Y74">
        <v>0.92</v>
      </c>
      <c r="AA74">
        <v>0</v>
      </c>
      <c r="AB74">
        <v>12038.08</v>
      </c>
      <c r="AC74">
        <v>1669.55</v>
      </c>
      <c r="AD74">
        <v>0</v>
      </c>
      <c r="AE74">
        <v>0</v>
      </c>
      <c r="AF74">
        <v>1948.76</v>
      </c>
      <c r="AG74">
        <v>74.41</v>
      </c>
      <c r="AH74">
        <v>0</v>
      </c>
      <c r="AI74">
        <v>1</v>
      </c>
      <c r="AJ74">
        <v>5.9</v>
      </c>
      <c r="AK74">
        <v>21.43</v>
      </c>
      <c r="AL74">
        <v>1</v>
      </c>
      <c r="AN74">
        <v>0</v>
      </c>
      <c r="AO74">
        <v>1</v>
      </c>
      <c r="AP74">
        <v>0</v>
      </c>
      <c r="AQ74">
        <v>0</v>
      </c>
      <c r="AR74">
        <v>0</v>
      </c>
      <c r="AS74" t="s">
        <v>6</v>
      </c>
      <c r="AT74">
        <v>0.92</v>
      </c>
      <c r="AU74" t="s">
        <v>6</v>
      </c>
      <c r="AV74">
        <v>0</v>
      </c>
      <c r="AW74">
        <v>2</v>
      </c>
      <c r="AX74">
        <v>44171411</v>
      </c>
      <c r="AY74">
        <v>1</v>
      </c>
      <c r="AZ74">
        <v>0</v>
      </c>
      <c r="BA74">
        <v>72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Y74*Source!I62</f>
        <v>64.400000000000006</v>
      </c>
      <c r="CY74">
        <f t="shared" si="24"/>
        <v>12038.08</v>
      </c>
      <c r="CZ74">
        <f t="shared" si="25"/>
        <v>1948.76</v>
      </c>
      <c r="DA74">
        <f t="shared" si="26"/>
        <v>5.9</v>
      </c>
      <c r="DB74">
        <f t="shared" si="22"/>
        <v>1792.86</v>
      </c>
      <c r="DC74">
        <f t="shared" si="23"/>
        <v>68.459999999999994</v>
      </c>
    </row>
    <row r="75" spans="1:107" x14ac:dyDescent="0.2">
      <c r="A75">
        <f>ROW(Source!A62)</f>
        <v>62</v>
      </c>
      <c r="B75">
        <v>44175489</v>
      </c>
      <c r="C75">
        <v>44171393</v>
      </c>
      <c r="D75">
        <v>35065321</v>
      </c>
      <c r="E75">
        <v>1</v>
      </c>
      <c r="F75">
        <v>1</v>
      </c>
      <c r="G75">
        <v>34959076</v>
      </c>
      <c r="H75">
        <v>2</v>
      </c>
      <c r="I75" t="s">
        <v>239</v>
      </c>
      <c r="J75" t="s">
        <v>240</v>
      </c>
      <c r="K75" t="s">
        <v>241</v>
      </c>
      <c r="L75">
        <v>1367</v>
      </c>
      <c r="N75">
        <v>1011</v>
      </c>
      <c r="O75" t="s">
        <v>232</v>
      </c>
      <c r="P75" t="s">
        <v>232</v>
      </c>
      <c r="Q75">
        <v>1</v>
      </c>
      <c r="W75">
        <v>0</v>
      </c>
      <c r="X75">
        <v>1313308123</v>
      </c>
      <c r="Y75">
        <v>0.16</v>
      </c>
      <c r="AA75">
        <v>0</v>
      </c>
      <c r="AB75">
        <v>2248.08</v>
      </c>
      <c r="AC75">
        <v>501.7</v>
      </c>
      <c r="AD75">
        <v>0</v>
      </c>
      <c r="AE75">
        <v>0</v>
      </c>
      <c r="AF75">
        <v>199.18</v>
      </c>
      <c r="AG75">
        <v>22.36</v>
      </c>
      <c r="AH75">
        <v>0</v>
      </c>
      <c r="AI75">
        <v>1</v>
      </c>
      <c r="AJ75">
        <v>10.78</v>
      </c>
      <c r="AK75">
        <v>21.43</v>
      </c>
      <c r="AL75">
        <v>1</v>
      </c>
      <c r="AN75">
        <v>0</v>
      </c>
      <c r="AO75">
        <v>1</v>
      </c>
      <c r="AP75">
        <v>0</v>
      </c>
      <c r="AQ75">
        <v>0</v>
      </c>
      <c r="AR75">
        <v>0</v>
      </c>
      <c r="AS75" t="s">
        <v>6</v>
      </c>
      <c r="AT75">
        <v>0.16</v>
      </c>
      <c r="AU75" t="s">
        <v>6</v>
      </c>
      <c r="AV75">
        <v>0</v>
      </c>
      <c r="AW75">
        <v>2</v>
      </c>
      <c r="AX75">
        <v>44171412</v>
      </c>
      <c r="AY75">
        <v>1</v>
      </c>
      <c r="AZ75">
        <v>0</v>
      </c>
      <c r="BA75">
        <v>73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Y75*Source!I62</f>
        <v>11.200000000000001</v>
      </c>
      <c r="CY75">
        <f t="shared" si="24"/>
        <v>2248.08</v>
      </c>
      <c r="CZ75">
        <f t="shared" si="25"/>
        <v>199.18</v>
      </c>
      <c r="DA75">
        <f t="shared" si="26"/>
        <v>10.78</v>
      </c>
      <c r="DB75">
        <f t="shared" si="22"/>
        <v>31.87</v>
      </c>
      <c r="DC75">
        <f t="shared" si="23"/>
        <v>3.58</v>
      </c>
    </row>
    <row r="76" spans="1:107" x14ac:dyDescent="0.2">
      <c r="A76">
        <f>ROW(Source!A62)</f>
        <v>62</v>
      </c>
      <c r="B76">
        <v>44175489</v>
      </c>
      <c r="C76">
        <v>44171393</v>
      </c>
      <c r="D76">
        <v>35065468</v>
      </c>
      <c r="E76">
        <v>1</v>
      </c>
      <c r="F76">
        <v>1</v>
      </c>
      <c r="G76">
        <v>34959076</v>
      </c>
      <c r="H76">
        <v>2</v>
      </c>
      <c r="I76" t="s">
        <v>242</v>
      </c>
      <c r="J76" t="s">
        <v>243</v>
      </c>
      <c r="K76" t="s">
        <v>244</v>
      </c>
      <c r="L76">
        <v>1367</v>
      </c>
      <c r="N76">
        <v>1011</v>
      </c>
      <c r="O76" t="s">
        <v>232</v>
      </c>
      <c r="P76" t="s">
        <v>232</v>
      </c>
      <c r="Q76">
        <v>1</v>
      </c>
      <c r="W76">
        <v>0</v>
      </c>
      <c r="X76">
        <v>902205412</v>
      </c>
      <c r="Y76">
        <v>0.04</v>
      </c>
      <c r="AA76">
        <v>0</v>
      </c>
      <c r="AB76">
        <v>552.35</v>
      </c>
      <c r="AC76">
        <v>173.66</v>
      </c>
      <c r="AD76">
        <v>0</v>
      </c>
      <c r="AE76">
        <v>0</v>
      </c>
      <c r="AF76">
        <v>64.89</v>
      </c>
      <c r="AG76">
        <v>7.74</v>
      </c>
      <c r="AH76">
        <v>0</v>
      </c>
      <c r="AI76">
        <v>1</v>
      </c>
      <c r="AJ76">
        <v>8.1300000000000008</v>
      </c>
      <c r="AK76">
        <v>21.43</v>
      </c>
      <c r="AL76">
        <v>1</v>
      </c>
      <c r="AN76">
        <v>0</v>
      </c>
      <c r="AO76">
        <v>1</v>
      </c>
      <c r="AP76">
        <v>0</v>
      </c>
      <c r="AQ76">
        <v>0</v>
      </c>
      <c r="AR76">
        <v>0</v>
      </c>
      <c r="AS76" t="s">
        <v>6</v>
      </c>
      <c r="AT76">
        <v>0.04</v>
      </c>
      <c r="AU76" t="s">
        <v>6</v>
      </c>
      <c r="AV76">
        <v>0</v>
      </c>
      <c r="AW76">
        <v>2</v>
      </c>
      <c r="AX76">
        <v>44171413</v>
      </c>
      <c r="AY76">
        <v>1</v>
      </c>
      <c r="AZ76">
        <v>0</v>
      </c>
      <c r="BA76">
        <v>74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Y76*Source!I62</f>
        <v>2.8000000000000003</v>
      </c>
      <c r="CY76">
        <f t="shared" si="24"/>
        <v>552.35</v>
      </c>
      <c r="CZ76">
        <f t="shared" si="25"/>
        <v>64.89</v>
      </c>
      <c r="DA76">
        <f t="shared" si="26"/>
        <v>8.1300000000000008</v>
      </c>
      <c r="DB76">
        <f t="shared" si="22"/>
        <v>2.6</v>
      </c>
      <c r="DC76">
        <f t="shared" si="23"/>
        <v>0.31</v>
      </c>
    </row>
    <row r="77" spans="1:107" x14ac:dyDescent="0.2">
      <c r="A77">
        <f>ROW(Source!A62)</f>
        <v>62</v>
      </c>
      <c r="B77">
        <v>44175489</v>
      </c>
      <c r="C77">
        <v>44171393</v>
      </c>
      <c r="D77">
        <v>35064722</v>
      </c>
      <c r="E77">
        <v>1</v>
      </c>
      <c r="F77">
        <v>1</v>
      </c>
      <c r="G77">
        <v>34959076</v>
      </c>
      <c r="H77">
        <v>2</v>
      </c>
      <c r="I77" t="s">
        <v>245</v>
      </c>
      <c r="J77" t="s">
        <v>246</v>
      </c>
      <c r="K77" t="s">
        <v>247</v>
      </c>
      <c r="L77">
        <v>1367</v>
      </c>
      <c r="N77">
        <v>1011</v>
      </c>
      <c r="O77" t="s">
        <v>232</v>
      </c>
      <c r="P77" t="s">
        <v>232</v>
      </c>
      <c r="Q77">
        <v>1</v>
      </c>
      <c r="W77">
        <v>0</v>
      </c>
      <c r="X77">
        <v>2126829182</v>
      </c>
      <c r="Y77">
        <v>0.35</v>
      </c>
      <c r="AA77">
        <v>0</v>
      </c>
      <c r="AB77">
        <v>1828.67</v>
      </c>
      <c r="AC77">
        <v>801.01</v>
      </c>
      <c r="AD77">
        <v>0</v>
      </c>
      <c r="AE77">
        <v>0</v>
      </c>
      <c r="AF77">
        <v>177.86</v>
      </c>
      <c r="AG77">
        <v>35.700000000000003</v>
      </c>
      <c r="AH77">
        <v>0</v>
      </c>
      <c r="AI77">
        <v>1</v>
      </c>
      <c r="AJ77">
        <v>9.82</v>
      </c>
      <c r="AK77">
        <v>21.43</v>
      </c>
      <c r="AL77">
        <v>1</v>
      </c>
      <c r="AN77">
        <v>0</v>
      </c>
      <c r="AO77">
        <v>1</v>
      </c>
      <c r="AP77">
        <v>0</v>
      </c>
      <c r="AQ77">
        <v>0</v>
      </c>
      <c r="AR77">
        <v>0</v>
      </c>
      <c r="AS77" t="s">
        <v>6</v>
      </c>
      <c r="AT77">
        <v>0.35</v>
      </c>
      <c r="AU77" t="s">
        <v>6</v>
      </c>
      <c r="AV77">
        <v>0</v>
      </c>
      <c r="AW77">
        <v>2</v>
      </c>
      <c r="AX77">
        <v>44171414</v>
      </c>
      <c r="AY77">
        <v>1</v>
      </c>
      <c r="AZ77">
        <v>0</v>
      </c>
      <c r="BA77">
        <v>75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Y77*Source!I62</f>
        <v>24.5</v>
      </c>
      <c r="CY77">
        <f t="shared" si="24"/>
        <v>1828.67</v>
      </c>
      <c r="CZ77">
        <f t="shared" si="25"/>
        <v>177.86</v>
      </c>
      <c r="DA77">
        <f t="shared" si="26"/>
        <v>9.82</v>
      </c>
      <c r="DB77">
        <f t="shared" si="22"/>
        <v>62.25</v>
      </c>
      <c r="DC77">
        <f t="shared" si="23"/>
        <v>12.5</v>
      </c>
    </row>
    <row r="78" spans="1:107" x14ac:dyDescent="0.2">
      <c r="A78">
        <f>ROW(Source!A62)</f>
        <v>62</v>
      </c>
      <c r="B78">
        <v>44175489</v>
      </c>
      <c r="C78">
        <v>44171393</v>
      </c>
      <c r="D78">
        <v>35064877</v>
      </c>
      <c r="E78">
        <v>1</v>
      </c>
      <c r="F78">
        <v>1</v>
      </c>
      <c r="G78">
        <v>34959076</v>
      </c>
      <c r="H78">
        <v>2</v>
      </c>
      <c r="I78" t="s">
        <v>248</v>
      </c>
      <c r="J78" t="s">
        <v>249</v>
      </c>
      <c r="K78" t="s">
        <v>250</v>
      </c>
      <c r="L78">
        <v>1367</v>
      </c>
      <c r="N78">
        <v>1011</v>
      </c>
      <c r="O78" t="s">
        <v>232</v>
      </c>
      <c r="P78" t="s">
        <v>232</v>
      </c>
      <c r="Q78">
        <v>1</v>
      </c>
      <c r="W78">
        <v>0</v>
      </c>
      <c r="X78">
        <v>1778166765</v>
      </c>
      <c r="Y78">
        <v>0.21</v>
      </c>
      <c r="AA78">
        <v>0</v>
      </c>
      <c r="AB78">
        <v>1084.98</v>
      </c>
      <c r="AC78">
        <v>641.92999999999995</v>
      </c>
      <c r="AD78">
        <v>0</v>
      </c>
      <c r="AE78">
        <v>0</v>
      </c>
      <c r="AF78">
        <v>148.88999999999999</v>
      </c>
      <c r="AG78">
        <v>28.61</v>
      </c>
      <c r="AH78">
        <v>0</v>
      </c>
      <c r="AI78">
        <v>1</v>
      </c>
      <c r="AJ78">
        <v>6.96</v>
      </c>
      <c r="AK78">
        <v>21.43</v>
      </c>
      <c r="AL78">
        <v>1</v>
      </c>
      <c r="AN78">
        <v>0</v>
      </c>
      <c r="AO78">
        <v>1</v>
      </c>
      <c r="AP78">
        <v>0</v>
      </c>
      <c r="AQ78">
        <v>0</v>
      </c>
      <c r="AR78">
        <v>0</v>
      </c>
      <c r="AS78" t="s">
        <v>6</v>
      </c>
      <c r="AT78">
        <v>0.21</v>
      </c>
      <c r="AU78" t="s">
        <v>6</v>
      </c>
      <c r="AV78">
        <v>0</v>
      </c>
      <c r="AW78">
        <v>2</v>
      </c>
      <c r="AX78">
        <v>44171415</v>
      </c>
      <c r="AY78">
        <v>1</v>
      </c>
      <c r="AZ78">
        <v>0</v>
      </c>
      <c r="BA78">
        <v>76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Y78*Source!I62</f>
        <v>14.7</v>
      </c>
      <c r="CY78">
        <f t="shared" si="24"/>
        <v>1084.98</v>
      </c>
      <c r="CZ78">
        <f t="shared" si="25"/>
        <v>148.88999999999999</v>
      </c>
      <c r="DA78">
        <f t="shared" si="26"/>
        <v>6.96</v>
      </c>
      <c r="DB78">
        <f t="shared" si="22"/>
        <v>31.27</v>
      </c>
      <c r="DC78">
        <f t="shared" si="23"/>
        <v>6.01</v>
      </c>
    </row>
    <row r="79" spans="1:107" x14ac:dyDescent="0.2">
      <c r="A79">
        <f>ROW(Source!A62)</f>
        <v>62</v>
      </c>
      <c r="B79">
        <v>44175489</v>
      </c>
      <c r="C79">
        <v>44171393</v>
      </c>
      <c r="D79">
        <v>38777799</v>
      </c>
      <c r="E79">
        <v>1</v>
      </c>
      <c r="F79">
        <v>1</v>
      </c>
      <c r="G79">
        <v>34959076</v>
      </c>
      <c r="H79">
        <v>2</v>
      </c>
      <c r="I79" t="s">
        <v>251</v>
      </c>
      <c r="J79" t="s">
        <v>252</v>
      </c>
      <c r="K79" t="s">
        <v>253</v>
      </c>
      <c r="L79">
        <v>1367</v>
      </c>
      <c r="N79">
        <v>1011</v>
      </c>
      <c r="O79" t="s">
        <v>232</v>
      </c>
      <c r="P79" t="s">
        <v>232</v>
      </c>
      <c r="Q79">
        <v>1</v>
      </c>
      <c r="W79">
        <v>0</v>
      </c>
      <c r="X79">
        <v>-1506540917</v>
      </c>
      <c r="Y79">
        <v>0.92</v>
      </c>
      <c r="AA79">
        <v>0</v>
      </c>
      <c r="AB79">
        <v>783.69</v>
      </c>
      <c r="AC79">
        <v>420.47</v>
      </c>
      <c r="AD79">
        <v>0</v>
      </c>
      <c r="AE79">
        <v>0</v>
      </c>
      <c r="AF79">
        <v>80.14</v>
      </c>
      <c r="AG79">
        <v>18.739999999999998</v>
      </c>
      <c r="AH79">
        <v>0</v>
      </c>
      <c r="AI79">
        <v>1</v>
      </c>
      <c r="AJ79">
        <v>9.34</v>
      </c>
      <c r="AK79">
        <v>21.43</v>
      </c>
      <c r="AL79">
        <v>1</v>
      </c>
      <c r="AN79">
        <v>0</v>
      </c>
      <c r="AO79">
        <v>1</v>
      </c>
      <c r="AP79">
        <v>0</v>
      </c>
      <c r="AQ79">
        <v>0</v>
      </c>
      <c r="AR79">
        <v>0</v>
      </c>
      <c r="AS79" t="s">
        <v>6</v>
      </c>
      <c r="AT79">
        <v>0.92</v>
      </c>
      <c r="AU79" t="s">
        <v>6</v>
      </c>
      <c r="AV79">
        <v>0</v>
      </c>
      <c r="AW79">
        <v>2</v>
      </c>
      <c r="AX79">
        <v>44171416</v>
      </c>
      <c r="AY79">
        <v>1</v>
      </c>
      <c r="AZ79">
        <v>0</v>
      </c>
      <c r="BA79">
        <v>77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Y79*Source!I62</f>
        <v>64.400000000000006</v>
      </c>
      <c r="CY79">
        <f t="shared" si="24"/>
        <v>783.69</v>
      </c>
      <c r="CZ79">
        <f t="shared" si="25"/>
        <v>80.14</v>
      </c>
      <c r="DA79">
        <f t="shared" si="26"/>
        <v>9.34</v>
      </c>
      <c r="DB79">
        <f t="shared" si="22"/>
        <v>73.73</v>
      </c>
      <c r="DC79">
        <f t="shared" si="23"/>
        <v>17.239999999999998</v>
      </c>
    </row>
    <row r="80" spans="1:107" x14ac:dyDescent="0.2">
      <c r="A80">
        <f>ROW(Source!A62)</f>
        <v>62</v>
      </c>
      <c r="B80">
        <v>44175489</v>
      </c>
      <c r="C80">
        <v>44171393</v>
      </c>
      <c r="D80">
        <v>34984824</v>
      </c>
      <c r="E80">
        <v>34959076</v>
      </c>
      <c r="F80">
        <v>1</v>
      </c>
      <c r="G80">
        <v>34959076</v>
      </c>
      <c r="H80">
        <v>2</v>
      </c>
      <c r="I80" t="s">
        <v>254</v>
      </c>
      <c r="J80" t="s">
        <v>6</v>
      </c>
      <c r="K80" t="s">
        <v>255</v>
      </c>
      <c r="L80">
        <v>1344</v>
      </c>
      <c r="N80">
        <v>1008</v>
      </c>
      <c r="O80" t="s">
        <v>256</v>
      </c>
      <c r="P80" t="s">
        <v>256</v>
      </c>
      <c r="Q80">
        <v>1</v>
      </c>
      <c r="W80">
        <v>0</v>
      </c>
      <c r="X80">
        <v>-1180195794</v>
      </c>
      <c r="Y80">
        <v>0.01</v>
      </c>
      <c r="AA80">
        <v>0</v>
      </c>
      <c r="AB80">
        <v>1.05</v>
      </c>
      <c r="AC80">
        <v>0</v>
      </c>
      <c r="AD80">
        <v>0</v>
      </c>
      <c r="AE80">
        <v>0</v>
      </c>
      <c r="AF80">
        <v>1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1</v>
      </c>
      <c r="AP80">
        <v>0</v>
      </c>
      <c r="AQ80">
        <v>0</v>
      </c>
      <c r="AR80">
        <v>0</v>
      </c>
      <c r="AS80" t="s">
        <v>6</v>
      </c>
      <c r="AT80">
        <v>0.01</v>
      </c>
      <c r="AU80" t="s">
        <v>6</v>
      </c>
      <c r="AV80">
        <v>0</v>
      </c>
      <c r="AW80">
        <v>2</v>
      </c>
      <c r="AX80">
        <v>44171417</v>
      </c>
      <c r="AY80">
        <v>1</v>
      </c>
      <c r="AZ80">
        <v>0</v>
      </c>
      <c r="BA80">
        <v>78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Y80*Source!I62</f>
        <v>0.70000000000000007</v>
      </c>
      <c r="CY80">
        <f t="shared" si="24"/>
        <v>1.05</v>
      </c>
      <c r="CZ80">
        <f t="shared" si="25"/>
        <v>1</v>
      </c>
      <c r="DA80">
        <f t="shared" si="26"/>
        <v>1</v>
      </c>
      <c r="DB80">
        <f t="shared" si="22"/>
        <v>0.01</v>
      </c>
      <c r="DC80">
        <f t="shared" si="23"/>
        <v>0</v>
      </c>
    </row>
    <row r="81" spans="1:107" x14ac:dyDescent="0.2">
      <c r="A81">
        <f>ROW(Source!A62)</f>
        <v>62</v>
      </c>
      <c r="B81">
        <v>44175489</v>
      </c>
      <c r="C81">
        <v>44171393</v>
      </c>
      <c r="D81">
        <v>35043080</v>
      </c>
      <c r="E81">
        <v>1</v>
      </c>
      <c r="F81">
        <v>1</v>
      </c>
      <c r="G81">
        <v>34959076</v>
      </c>
      <c r="H81">
        <v>3</v>
      </c>
      <c r="I81" t="s">
        <v>257</v>
      </c>
      <c r="J81" t="s">
        <v>258</v>
      </c>
      <c r="K81" t="s">
        <v>259</v>
      </c>
      <c r="L81">
        <v>1348</v>
      </c>
      <c r="N81">
        <v>1009</v>
      </c>
      <c r="O81" t="s">
        <v>260</v>
      </c>
      <c r="P81" t="s">
        <v>260</v>
      </c>
      <c r="Q81">
        <v>1000</v>
      </c>
      <c r="W81">
        <v>0</v>
      </c>
      <c r="X81">
        <v>1678700400</v>
      </c>
      <c r="Y81">
        <v>2.3014699999999999E-3</v>
      </c>
      <c r="AA81">
        <v>21697.05</v>
      </c>
      <c r="AB81">
        <v>0</v>
      </c>
      <c r="AC81">
        <v>0</v>
      </c>
      <c r="AD81">
        <v>0</v>
      </c>
      <c r="AE81">
        <v>5778.3</v>
      </c>
      <c r="AF81">
        <v>0</v>
      </c>
      <c r="AG81">
        <v>0</v>
      </c>
      <c r="AH81">
        <v>0</v>
      </c>
      <c r="AI81">
        <v>3.48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0</v>
      </c>
      <c r="AQ81">
        <v>0</v>
      </c>
      <c r="AR81">
        <v>0</v>
      </c>
      <c r="AS81" t="s">
        <v>6</v>
      </c>
      <c r="AT81">
        <v>2.3014699999999999E-3</v>
      </c>
      <c r="AU81" t="s">
        <v>6</v>
      </c>
      <c r="AV81">
        <v>0</v>
      </c>
      <c r="AW81">
        <v>2</v>
      </c>
      <c r="AX81">
        <v>44171418</v>
      </c>
      <c r="AY81">
        <v>1</v>
      </c>
      <c r="AZ81">
        <v>0</v>
      </c>
      <c r="BA81">
        <v>79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Y81*Source!I62</f>
        <v>0.16110289999999999</v>
      </c>
      <c r="CY81">
        <f t="shared" ref="CY81:CY86" si="27">AA81</f>
        <v>21697.05</v>
      </c>
      <c r="CZ81">
        <f t="shared" ref="CZ81:CZ86" si="28">AE81</f>
        <v>5778.3</v>
      </c>
      <c r="DA81">
        <f t="shared" ref="DA81:DA86" si="29">AI81</f>
        <v>3.48</v>
      </c>
      <c r="DB81">
        <f t="shared" si="22"/>
        <v>13.3</v>
      </c>
      <c r="DC81">
        <f t="shared" si="23"/>
        <v>0</v>
      </c>
    </row>
    <row r="82" spans="1:107" x14ac:dyDescent="0.2">
      <c r="A82">
        <f>ROW(Source!A62)</f>
        <v>62</v>
      </c>
      <c r="B82">
        <v>44175489</v>
      </c>
      <c r="C82">
        <v>44171393</v>
      </c>
      <c r="D82">
        <v>35043897</v>
      </c>
      <c r="E82">
        <v>1</v>
      </c>
      <c r="F82">
        <v>1</v>
      </c>
      <c r="G82">
        <v>34959076</v>
      </c>
      <c r="H82">
        <v>3</v>
      </c>
      <c r="I82" t="s">
        <v>261</v>
      </c>
      <c r="J82" t="s">
        <v>262</v>
      </c>
      <c r="K82" t="s">
        <v>263</v>
      </c>
      <c r="L82">
        <v>1339</v>
      </c>
      <c r="N82">
        <v>1007</v>
      </c>
      <c r="O82" t="s">
        <v>43</v>
      </c>
      <c r="P82" t="s">
        <v>43</v>
      </c>
      <c r="Q82">
        <v>1</v>
      </c>
      <c r="W82">
        <v>0</v>
      </c>
      <c r="X82">
        <v>-862991314</v>
      </c>
      <c r="Y82">
        <v>3.15</v>
      </c>
      <c r="AA82">
        <v>34.79</v>
      </c>
      <c r="AB82">
        <v>0</v>
      </c>
      <c r="AC82">
        <v>0</v>
      </c>
      <c r="AD82">
        <v>0</v>
      </c>
      <c r="AE82">
        <v>7.07</v>
      </c>
      <c r="AF82">
        <v>0</v>
      </c>
      <c r="AG82">
        <v>0</v>
      </c>
      <c r="AH82">
        <v>0</v>
      </c>
      <c r="AI82">
        <v>4.5599999999999996</v>
      </c>
      <c r="AJ82">
        <v>1</v>
      </c>
      <c r="AK82">
        <v>1</v>
      </c>
      <c r="AL82">
        <v>1</v>
      </c>
      <c r="AN82">
        <v>0</v>
      </c>
      <c r="AO82">
        <v>1</v>
      </c>
      <c r="AP82">
        <v>0</v>
      </c>
      <c r="AQ82">
        <v>0</v>
      </c>
      <c r="AR82">
        <v>0</v>
      </c>
      <c r="AS82" t="s">
        <v>6</v>
      </c>
      <c r="AT82">
        <v>3.15</v>
      </c>
      <c r="AU82" t="s">
        <v>6</v>
      </c>
      <c r="AV82">
        <v>0</v>
      </c>
      <c r="AW82">
        <v>2</v>
      </c>
      <c r="AX82">
        <v>44171419</v>
      </c>
      <c r="AY82">
        <v>1</v>
      </c>
      <c r="AZ82">
        <v>0</v>
      </c>
      <c r="BA82">
        <v>80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Y82*Source!I62</f>
        <v>220.5</v>
      </c>
      <c r="CY82">
        <f t="shared" si="27"/>
        <v>34.79</v>
      </c>
      <c r="CZ82">
        <f t="shared" si="28"/>
        <v>7.07</v>
      </c>
      <c r="DA82">
        <f t="shared" si="29"/>
        <v>4.5599999999999996</v>
      </c>
      <c r="DB82">
        <f t="shared" si="22"/>
        <v>22.27</v>
      </c>
      <c r="DC82">
        <f t="shared" si="23"/>
        <v>0</v>
      </c>
    </row>
    <row r="83" spans="1:107" x14ac:dyDescent="0.2">
      <c r="A83">
        <f>ROW(Source!A62)</f>
        <v>62</v>
      </c>
      <c r="B83">
        <v>44175489</v>
      </c>
      <c r="C83">
        <v>44171393</v>
      </c>
      <c r="D83">
        <v>35042352</v>
      </c>
      <c r="E83">
        <v>1</v>
      </c>
      <c r="F83">
        <v>1</v>
      </c>
      <c r="G83">
        <v>34959076</v>
      </c>
      <c r="H83">
        <v>3</v>
      </c>
      <c r="I83" t="s">
        <v>71</v>
      </c>
      <c r="J83" t="s">
        <v>74</v>
      </c>
      <c r="K83" t="s">
        <v>72</v>
      </c>
      <c r="L83">
        <v>1346</v>
      </c>
      <c r="N83">
        <v>1009</v>
      </c>
      <c r="O83" t="s">
        <v>73</v>
      </c>
      <c r="P83" t="s">
        <v>73</v>
      </c>
      <c r="Q83">
        <v>1</v>
      </c>
      <c r="W83">
        <v>0</v>
      </c>
      <c r="X83">
        <v>185995085</v>
      </c>
      <c r="Y83">
        <v>179.2</v>
      </c>
      <c r="AA83">
        <v>49.01</v>
      </c>
      <c r="AB83">
        <v>0</v>
      </c>
      <c r="AC83">
        <v>0</v>
      </c>
      <c r="AD83">
        <v>0</v>
      </c>
      <c r="AE83">
        <v>11.3</v>
      </c>
      <c r="AF83">
        <v>0</v>
      </c>
      <c r="AG83">
        <v>0</v>
      </c>
      <c r="AH83">
        <v>0</v>
      </c>
      <c r="AI83">
        <v>4.0199999999999996</v>
      </c>
      <c r="AJ83">
        <v>1</v>
      </c>
      <c r="AK83">
        <v>1</v>
      </c>
      <c r="AL83">
        <v>1</v>
      </c>
      <c r="AN83">
        <v>0</v>
      </c>
      <c r="AO83">
        <v>0</v>
      </c>
      <c r="AP83">
        <v>0</v>
      </c>
      <c r="AQ83">
        <v>0</v>
      </c>
      <c r="AR83">
        <v>0</v>
      </c>
      <c r="AS83" t="s">
        <v>6</v>
      </c>
      <c r="AT83">
        <v>179.2</v>
      </c>
      <c r="AU83" t="s">
        <v>6</v>
      </c>
      <c r="AV83">
        <v>0</v>
      </c>
      <c r="AW83">
        <v>1</v>
      </c>
      <c r="AX83">
        <v>-1</v>
      </c>
      <c r="AY83">
        <v>0</v>
      </c>
      <c r="AZ83">
        <v>0</v>
      </c>
      <c r="BA83" t="s">
        <v>6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Y83*Source!I62</f>
        <v>12544</v>
      </c>
      <c r="CY83">
        <f t="shared" si="27"/>
        <v>49.01</v>
      </c>
      <c r="CZ83">
        <f t="shared" si="28"/>
        <v>11.3</v>
      </c>
      <c r="DA83">
        <f t="shared" si="29"/>
        <v>4.0199999999999996</v>
      </c>
      <c r="DB83">
        <f t="shared" si="22"/>
        <v>2024.96</v>
      </c>
      <c r="DC83">
        <f t="shared" si="23"/>
        <v>0</v>
      </c>
    </row>
    <row r="84" spans="1:107" x14ac:dyDescent="0.2">
      <c r="A84">
        <f>ROW(Source!A62)</f>
        <v>62</v>
      </c>
      <c r="B84">
        <v>44175489</v>
      </c>
      <c r="C84">
        <v>44171393</v>
      </c>
      <c r="D84">
        <v>35041443</v>
      </c>
      <c r="E84">
        <v>1</v>
      </c>
      <c r="F84">
        <v>1</v>
      </c>
      <c r="G84">
        <v>34959076</v>
      </c>
      <c r="H84">
        <v>3</v>
      </c>
      <c r="I84" t="s">
        <v>264</v>
      </c>
      <c r="J84" t="s">
        <v>265</v>
      </c>
      <c r="K84" t="s">
        <v>266</v>
      </c>
      <c r="L84">
        <v>1346</v>
      </c>
      <c r="N84">
        <v>1009</v>
      </c>
      <c r="O84" t="s">
        <v>73</v>
      </c>
      <c r="P84" t="s">
        <v>73</v>
      </c>
      <c r="Q84">
        <v>1</v>
      </c>
      <c r="W84">
        <v>0</v>
      </c>
      <c r="X84">
        <v>-754417250</v>
      </c>
      <c r="Y84">
        <v>4.6699999999999998E-2</v>
      </c>
      <c r="AA84">
        <v>49.56</v>
      </c>
      <c r="AB84">
        <v>0</v>
      </c>
      <c r="AC84">
        <v>0</v>
      </c>
      <c r="AD84">
        <v>0</v>
      </c>
      <c r="AE84">
        <v>7.48</v>
      </c>
      <c r="AF84">
        <v>0</v>
      </c>
      <c r="AG84">
        <v>0</v>
      </c>
      <c r="AH84">
        <v>0</v>
      </c>
      <c r="AI84">
        <v>6.14</v>
      </c>
      <c r="AJ84">
        <v>1</v>
      </c>
      <c r="AK84">
        <v>1</v>
      </c>
      <c r="AL84">
        <v>1</v>
      </c>
      <c r="AN84">
        <v>0</v>
      </c>
      <c r="AO84">
        <v>1</v>
      </c>
      <c r="AP84">
        <v>0</v>
      </c>
      <c r="AQ84">
        <v>0</v>
      </c>
      <c r="AR84">
        <v>0</v>
      </c>
      <c r="AS84" t="s">
        <v>6</v>
      </c>
      <c r="AT84">
        <v>4.6699999999999998E-2</v>
      </c>
      <c r="AU84" t="s">
        <v>6</v>
      </c>
      <c r="AV84">
        <v>0</v>
      </c>
      <c r="AW84">
        <v>2</v>
      </c>
      <c r="AX84">
        <v>44171420</v>
      </c>
      <c r="AY84">
        <v>1</v>
      </c>
      <c r="AZ84">
        <v>0</v>
      </c>
      <c r="BA84">
        <v>81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Y84*Source!I62</f>
        <v>3.2689999999999997</v>
      </c>
      <c r="CY84">
        <f t="shared" si="27"/>
        <v>49.56</v>
      </c>
      <c r="CZ84">
        <f t="shared" si="28"/>
        <v>7.48</v>
      </c>
      <c r="DA84">
        <f t="shared" si="29"/>
        <v>6.14</v>
      </c>
      <c r="DB84">
        <f t="shared" si="22"/>
        <v>0.35</v>
      </c>
      <c r="DC84">
        <f t="shared" si="23"/>
        <v>0</v>
      </c>
    </row>
    <row r="85" spans="1:107" x14ac:dyDescent="0.2">
      <c r="A85">
        <f>ROW(Source!A62)</f>
        <v>62</v>
      </c>
      <c r="B85">
        <v>44175489</v>
      </c>
      <c r="C85">
        <v>44171393</v>
      </c>
      <c r="D85">
        <v>35041111</v>
      </c>
      <c r="E85">
        <v>1</v>
      </c>
      <c r="F85">
        <v>1</v>
      </c>
      <c r="G85">
        <v>34959076</v>
      </c>
      <c r="H85">
        <v>3</v>
      </c>
      <c r="I85" t="s">
        <v>81</v>
      </c>
      <c r="J85" t="s">
        <v>84</v>
      </c>
      <c r="K85" t="s">
        <v>82</v>
      </c>
      <c r="L85">
        <v>1296</v>
      </c>
      <c r="N85">
        <v>1002</v>
      </c>
      <c r="O85" t="s">
        <v>83</v>
      </c>
      <c r="P85" t="s">
        <v>83</v>
      </c>
      <c r="Q85">
        <v>1</v>
      </c>
      <c r="W85">
        <v>0</v>
      </c>
      <c r="X85">
        <v>-360054125</v>
      </c>
      <c r="Y85">
        <v>9.8176000000000005</v>
      </c>
      <c r="AA85">
        <v>482.62</v>
      </c>
      <c r="AB85">
        <v>0</v>
      </c>
      <c r="AC85">
        <v>0</v>
      </c>
      <c r="AD85">
        <v>0</v>
      </c>
      <c r="AE85">
        <v>95.37</v>
      </c>
      <c r="AF85">
        <v>0</v>
      </c>
      <c r="AG85">
        <v>0</v>
      </c>
      <c r="AH85">
        <v>0</v>
      </c>
      <c r="AI85">
        <v>4.6900000000000004</v>
      </c>
      <c r="AJ85">
        <v>1</v>
      </c>
      <c r="AK85">
        <v>1</v>
      </c>
      <c r="AL85">
        <v>1</v>
      </c>
      <c r="AN85">
        <v>0</v>
      </c>
      <c r="AO85">
        <v>0</v>
      </c>
      <c r="AP85">
        <v>0</v>
      </c>
      <c r="AQ85">
        <v>0</v>
      </c>
      <c r="AR85">
        <v>0</v>
      </c>
      <c r="AS85" t="s">
        <v>6</v>
      </c>
      <c r="AT85">
        <v>9.8176000000000005</v>
      </c>
      <c r="AU85" t="s">
        <v>6</v>
      </c>
      <c r="AV85">
        <v>0</v>
      </c>
      <c r="AW85">
        <v>1</v>
      </c>
      <c r="AX85">
        <v>-1</v>
      </c>
      <c r="AY85">
        <v>0</v>
      </c>
      <c r="AZ85">
        <v>0</v>
      </c>
      <c r="BA85" t="s">
        <v>6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Y85*Source!I62</f>
        <v>687.23200000000008</v>
      </c>
      <c r="CY85">
        <f t="shared" si="27"/>
        <v>482.62</v>
      </c>
      <c r="CZ85">
        <f t="shared" si="28"/>
        <v>95.37</v>
      </c>
      <c r="DA85">
        <f t="shared" si="29"/>
        <v>4.6900000000000004</v>
      </c>
      <c r="DB85">
        <f t="shared" si="22"/>
        <v>936.3</v>
      </c>
      <c r="DC85">
        <f t="shared" si="23"/>
        <v>0</v>
      </c>
    </row>
    <row r="86" spans="1:107" x14ac:dyDescent="0.2">
      <c r="A86">
        <f>ROW(Source!A62)</f>
        <v>62</v>
      </c>
      <c r="B86">
        <v>44175489</v>
      </c>
      <c r="C86">
        <v>44171393</v>
      </c>
      <c r="D86">
        <v>35046588</v>
      </c>
      <c r="E86">
        <v>1</v>
      </c>
      <c r="F86">
        <v>1</v>
      </c>
      <c r="G86">
        <v>34959076</v>
      </c>
      <c r="H86">
        <v>3</v>
      </c>
      <c r="I86" t="s">
        <v>76</v>
      </c>
      <c r="J86" t="s">
        <v>79</v>
      </c>
      <c r="K86" t="s">
        <v>77</v>
      </c>
      <c r="L86">
        <v>1301</v>
      </c>
      <c r="N86">
        <v>1003</v>
      </c>
      <c r="O86" t="s">
        <v>78</v>
      </c>
      <c r="P86" t="s">
        <v>78</v>
      </c>
      <c r="Q86">
        <v>1</v>
      </c>
      <c r="W86">
        <v>0</v>
      </c>
      <c r="X86">
        <v>-203233444</v>
      </c>
      <c r="Y86">
        <v>3.0857139999999998</v>
      </c>
      <c r="AA86">
        <v>2273.37</v>
      </c>
      <c r="AB86">
        <v>0</v>
      </c>
      <c r="AC86">
        <v>0</v>
      </c>
      <c r="AD86">
        <v>0</v>
      </c>
      <c r="AE86">
        <v>707.02</v>
      </c>
      <c r="AF86">
        <v>0</v>
      </c>
      <c r="AG86">
        <v>0</v>
      </c>
      <c r="AH86">
        <v>0</v>
      </c>
      <c r="AI86">
        <v>2.98</v>
      </c>
      <c r="AJ86">
        <v>1</v>
      </c>
      <c r="AK86">
        <v>1</v>
      </c>
      <c r="AL86">
        <v>1</v>
      </c>
      <c r="AN86">
        <v>0</v>
      </c>
      <c r="AO86">
        <v>0</v>
      </c>
      <c r="AP86">
        <v>0</v>
      </c>
      <c r="AQ86">
        <v>0</v>
      </c>
      <c r="AR86">
        <v>0</v>
      </c>
      <c r="AS86" t="s">
        <v>6</v>
      </c>
      <c r="AT86">
        <v>3.0857139999999998</v>
      </c>
      <c r="AU86" t="s">
        <v>6</v>
      </c>
      <c r="AV86">
        <v>0</v>
      </c>
      <c r="AW86">
        <v>1</v>
      </c>
      <c r="AX86">
        <v>-1</v>
      </c>
      <c r="AY86">
        <v>0</v>
      </c>
      <c r="AZ86">
        <v>0</v>
      </c>
      <c r="BA86" t="s">
        <v>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Y86*Source!I62</f>
        <v>215.99997999999999</v>
      </c>
      <c r="CY86">
        <f t="shared" si="27"/>
        <v>2273.37</v>
      </c>
      <c r="CZ86">
        <f t="shared" si="28"/>
        <v>707.02</v>
      </c>
      <c r="DA86">
        <f t="shared" si="29"/>
        <v>2.98</v>
      </c>
      <c r="DB86">
        <f t="shared" si="22"/>
        <v>2181.66</v>
      </c>
      <c r="DC86">
        <f t="shared" si="23"/>
        <v>0</v>
      </c>
    </row>
    <row r="87" spans="1:107" x14ac:dyDescent="0.2">
      <c r="A87">
        <f>ROW(Source!A66)</f>
        <v>66</v>
      </c>
      <c r="B87">
        <v>44175489</v>
      </c>
      <c r="C87">
        <v>44171427</v>
      </c>
      <c r="D87">
        <v>35065183</v>
      </c>
      <c r="E87">
        <v>1</v>
      </c>
      <c r="F87">
        <v>1</v>
      </c>
      <c r="G87">
        <v>34959076</v>
      </c>
      <c r="H87">
        <v>2</v>
      </c>
      <c r="I87" t="s">
        <v>267</v>
      </c>
      <c r="J87" t="s">
        <v>268</v>
      </c>
      <c r="K87" t="s">
        <v>269</v>
      </c>
      <c r="L87">
        <v>1367</v>
      </c>
      <c r="N87">
        <v>1011</v>
      </c>
      <c r="O87" t="s">
        <v>232</v>
      </c>
      <c r="P87" t="s">
        <v>232</v>
      </c>
      <c r="Q87">
        <v>1</v>
      </c>
      <c r="W87">
        <v>0</v>
      </c>
      <c r="X87">
        <v>2118325711</v>
      </c>
      <c r="Y87">
        <v>1.82</v>
      </c>
      <c r="AA87">
        <v>0</v>
      </c>
      <c r="AB87">
        <v>35.71</v>
      </c>
      <c r="AC87">
        <v>7.32</v>
      </c>
      <c r="AD87">
        <v>0</v>
      </c>
      <c r="AE87">
        <v>0</v>
      </c>
      <c r="AF87">
        <v>14.12</v>
      </c>
      <c r="AG87">
        <v>0.32</v>
      </c>
      <c r="AH87">
        <v>0</v>
      </c>
      <c r="AI87">
        <v>1</v>
      </c>
      <c r="AJ87">
        <v>2.37</v>
      </c>
      <c r="AK87">
        <v>21.43</v>
      </c>
      <c r="AL87">
        <v>1</v>
      </c>
      <c r="AN87">
        <v>0</v>
      </c>
      <c r="AO87">
        <v>1</v>
      </c>
      <c r="AP87">
        <v>0</v>
      </c>
      <c r="AQ87">
        <v>0</v>
      </c>
      <c r="AR87">
        <v>0</v>
      </c>
      <c r="AS87" t="s">
        <v>6</v>
      </c>
      <c r="AT87">
        <v>1.82</v>
      </c>
      <c r="AU87" t="s">
        <v>6</v>
      </c>
      <c r="AV87">
        <v>0</v>
      </c>
      <c r="AW87">
        <v>2</v>
      </c>
      <c r="AX87">
        <v>44171429</v>
      </c>
      <c r="AY87">
        <v>1</v>
      </c>
      <c r="AZ87">
        <v>0</v>
      </c>
      <c r="BA87">
        <v>85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Y87*Source!I66</f>
        <v>32.76</v>
      </c>
      <c r="CY87">
        <f>AB87</f>
        <v>35.71</v>
      </c>
      <c r="CZ87">
        <f>AF87</f>
        <v>14.12</v>
      </c>
      <c r="DA87">
        <f>AJ87</f>
        <v>2.37</v>
      </c>
      <c r="DB87">
        <f t="shared" si="22"/>
        <v>25.7</v>
      </c>
      <c r="DC87">
        <f t="shared" si="23"/>
        <v>0.57999999999999996</v>
      </c>
    </row>
    <row r="88" spans="1:107" x14ac:dyDescent="0.2">
      <c r="A88">
        <f>ROW(Source!A67)</f>
        <v>67</v>
      </c>
      <c r="B88">
        <v>44175489</v>
      </c>
      <c r="C88">
        <v>44171430</v>
      </c>
      <c r="D88">
        <v>34984826</v>
      </c>
      <c r="E88">
        <v>34959076</v>
      </c>
      <c r="F88">
        <v>1</v>
      </c>
      <c r="G88">
        <v>34959076</v>
      </c>
      <c r="H88">
        <v>1</v>
      </c>
      <c r="I88" t="s">
        <v>224</v>
      </c>
      <c r="J88" t="s">
        <v>6</v>
      </c>
      <c r="K88" t="s">
        <v>225</v>
      </c>
      <c r="L88">
        <v>1191</v>
      </c>
      <c r="N88">
        <v>1013</v>
      </c>
      <c r="O88" t="s">
        <v>226</v>
      </c>
      <c r="P88" t="s">
        <v>226</v>
      </c>
      <c r="Q88">
        <v>1</v>
      </c>
      <c r="W88">
        <v>0</v>
      </c>
      <c r="X88">
        <v>476480486</v>
      </c>
      <c r="Y88">
        <v>0.26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1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0</v>
      </c>
      <c r="AQ88">
        <v>0</v>
      </c>
      <c r="AR88">
        <v>0</v>
      </c>
      <c r="AS88" t="s">
        <v>6</v>
      </c>
      <c r="AT88">
        <v>0.26</v>
      </c>
      <c r="AU88" t="s">
        <v>6</v>
      </c>
      <c r="AV88">
        <v>1</v>
      </c>
      <c r="AW88">
        <v>2</v>
      </c>
      <c r="AX88">
        <v>44171433</v>
      </c>
      <c r="AY88">
        <v>1</v>
      </c>
      <c r="AZ88">
        <v>0</v>
      </c>
      <c r="BA88">
        <v>86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Y88*Source!I67</f>
        <v>0.26</v>
      </c>
      <c r="CY88">
        <f>AD88</f>
        <v>0</v>
      </c>
      <c r="CZ88">
        <f>AH88</f>
        <v>0</v>
      </c>
      <c r="DA88">
        <f>AL88</f>
        <v>1</v>
      </c>
      <c r="DB88">
        <f t="shared" si="22"/>
        <v>0</v>
      </c>
      <c r="DC88">
        <f t="shared" si="23"/>
        <v>0</v>
      </c>
    </row>
    <row r="89" spans="1:107" x14ac:dyDescent="0.2">
      <c r="A89">
        <f>ROW(Source!A67)</f>
        <v>67</v>
      </c>
      <c r="B89">
        <v>44175489</v>
      </c>
      <c r="C89">
        <v>44171430</v>
      </c>
      <c r="D89">
        <v>38777804</v>
      </c>
      <c r="E89">
        <v>1</v>
      </c>
      <c r="F89">
        <v>1</v>
      </c>
      <c r="G89">
        <v>34959076</v>
      </c>
      <c r="H89">
        <v>2</v>
      </c>
      <c r="I89" t="s">
        <v>229</v>
      </c>
      <c r="J89" t="s">
        <v>230</v>
      </c>
      <c r="K89" t="s">
        <v>231</v>
      </c>
      <c r="L89">
        <v>1367</v>
      </c>
      <c r="N89">
        <v>1011</v>
      </c>
      <c r="O89" t="s">
        <v>232</v>
      </c>
      <c r="P89" t="s">
        <v>232</v>
      </c>
      <c r="Q89">
        <v>1</v>
      </c>
      <c r="W89">
        <v>0</v>
      </c>
      <c r="X89">
        <v>1357638705</v>
      </c>
      <c r="Y89">
        <v>0.26</v>
      </c>
      <c r="AA89">
        <v>0</v>
      </c>
      <c r="AB89">
        <v>12038.08</v>
      </c>
      <c r="AC89">
        <v>1669.55</v>
      </c>
      <c r="AD89">
        <v>0</v>
      </c>
      <c r="AE89">
        <v>0</v>
      </c>
      <c r="AF89">
        <v>1948.76</v>
      </c>
      <c r="AG89">
        <v>74.41</v>
      </c>
      <c r="AH89">
        <v>0</v>
      </c>
      <c r="AI89">
        <v>1</v>
      </c>
      <c r="AJ89">
        <v>5.9</v>
      </c>
      <c r="AK89">
        <v>21.43</v>
      </c>
      <c r="AL89">
        <v>1</v>
      </c>
      <c r="AN89">
        <v>0</v>
      </c>
      <c r="AO89">
        <v>1</v>
      </c>
      <c r="AP89">
        <v>0</v>
      </c>
      <c r="AQ89">
        <v>0</v>
      </c>
      <c r="AR89">
        <v>0</v>
      </c>
      <c r="AS89" t="s">
        <v>6</v>
      </c>
      <c r="AT89">
        <v>0.26</v>
      </c>
      <c r="AU89" t="s">
        <v>6</v>
      </c>
      <c r="AV89">
        <v>0</v>
      </c>
      <c r="AW89">
        <v>2</v>
      </c>
      <c r="AX89">
        <v>44171434</v>
      </c>
      <c r="AY89">
        <v>1</v>
      </c>
      <c r="AZ89">
        <v>0</v>
      </c>
      <c r="BA89">
        <v>87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Y89*Source!I67</f>
        <v>0.26</v>
      </c>
      <c r="CY89">
        <f>AB89</f>
        <v>12038.08</v>
      </c>
      <c r="CZ89">
        <f>AF89</f>
        <v>1948.76</v>
      </c>
      <c r="DA89">
        <f>AJ89</f>
        <v>5.9</v>
      </c>
      <c r="DB89">
        <f t="shared" si="22"/>
        <v>506.68</v>
      </c>
      <c r="DC89">
        <f t="shared" si="23"/>
        <v>19.350000000000001</v>
      </c>
    </row>
    <row r="90" spans="1:107" x14ac:dyDescent="0.2">
      <c r="A90">
        <f>ROW(Source!A140)</f>
        <v>140</v>
      </c>
      <c r="B90">
        <v>44175489</v>
      </c>
      <c r="C90">
        <v>44171438</v>
      </c>
      <c r="D90">
        <v>34984824</v>
      </c>
      <c r="E90">
        <v>34959076</v>
      </c>
      <c r="F90">
        <v>1</v>
      </c>
      <c r="G90">
        <v>34959076</v>
      </c>
      <c r="H90">
        <v>2</v>
      </c>
      <c r="I90" t="s">
        <v>254</v>
      </c>
      <c r="J90" t="s">
        <v>6</v>
      </c>
      <c r="K90" t="s">
        <v>255</v>
      </c>
      <c r="L90">
        <v>1344</v>
      </c>
      <c r="N90">
        <v>1008</v>
      </c>
      <c r="O90" t="s">
        <v>256</v>
      </c>
      <c r="P90" t="s">
        <v>256</v>
      </c>
      <c r="Q90">
        <v>1</v>
      </c>
      <c r="W90">
        <v>0</v>
      </c>
      <c r="X90">
        <v>-1180195794</v>
      </c>
      <c r="Y90">
        <v>55.05</v>
      </c>
      <c r="AA90">
        <v>0</v>
      </c>
      <c r="AB90">
        <v>1</v>
      </c>
      <c r="AC90">
        <v>0</v>
      </c>
      <c r="AD90">
        <v>0</v>
      </c>
      <c r="AE90">
        <v>0</v>
      </c>
      <c r="AF90">
        <v>1</v>
      </c>
      <c r="AG90">
        <v>0</v>
      </c>
      <c r="AH90">
        <v>0</v>
      </c>
      <c r="AI90">
        <v>1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0</v>
      </c>
      <c r="AQ90">
        <v>0</v>
      </c>
      <c r="AR90">
        <v>0</v>
      </c>
      <c r="AS90" t="s">
        <v>6</v>
      </c>
      <c r="AT90">
        <v>55.05</v>
      </c>
      <c r="AU90" t="s">
        <v>6</v>
      </c>
      <c r="AV90">
        <v>0</v>
      </c>
      <c r="AW90">
        <v>2</v>
      </c>
      <c r="AX90">
        <v>44171440</v>
      </c>
      <c r="AY90">
        <v>1</v>
      </c>
      <c r="AZ90">
        <v>0</v>
      </c>
      <c r="BA90">
        <v>89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Y90*Source!I140</f>
        <v>1189.08</v>
      </c>
      <c r="CY90">
        <f>AB90</f>
        <v>1</v>
      </c>
      <c r="CZ90">
        <f>AF90</f>
        <v>1</v>
      </c>
      <c r="DA90">
        <f>AJ90</f>
        <v>1</v>
      </c>
      <c r="DB90">
        <f t="shared" si="22"/>
        <v>55.05</v>
      </c>
      <c r="DC90">
        <f t="shared" si="23"/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ROW(Source!A32)</f>
        <v>32</v>
      </c>
      <c r="B1">
        <v>44171223</v>
      </c>
      <c r="C1">
        <v>44171220</v>
      </c>
      <c r="D1">
        <v>34984826</v>
      </c>
      <c r="E1">
        <v>34959076</v>
      </c>
      <c r="F1">
        <v>1</v>
      </c>
      <c r="G1">
        <v>34959076</v>
      </c>
      <c r="H1">
        <v>1</v>
      </c>
      <c r="I1" t="s">
        <v>224</v>
      </c>
      <c r="J1" t="s">
        <v>6</v>
      </c>
      <c r="K1" t="s">
        <v>225</v>
      </c>
      <c r="L1">
        <v>1191</v>
      </c>
      <c r="N1">
        <v>1013</v>
      </c>
      <c r="O1" t="s">
        <v>226</v>
      </c>
      <c r="P1" t="s">
        <v>226</v>
      </c>
      <c r="Q1">
        <v>1</v>
      </c>
      <c r="X1">
        <v>192.7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6</v>
      </c>
      <c r="AG1">
        <v>192.7</v>
      </c>
      <c r="AH1">
        <v>2</v>
      </c>
      <c r="AI1">
        <v>44171221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ROW(Source!A33)</f>
        <v>33</v>
      </c>
      <c r="B2">
        <v>44171229</v>
      </c>
      <c r="C2">
        <v>44171224</v>
      </c>
      <c r="D2">
        <v>34984826</v>
      </c>
      <c r="E2">
        <v>34959076</v>
      </c>
      <c r="F2">
        <v>1</v>
      </c>
      <c r="G2">
        <v>34959076</v>
      </c>
      <c r="H2">
        <v>1</v>
      </c>
      <c r="I2" t="s">
        <v>224</v>
      </c>
      <c r="J2" t="s">
        <v>6</v>
      </c>
      <c r="K2" t="s">
        <v>225</v>
      </c>
      <c r="L2">
        <v>1191</v>
      </c>
      <c r="N2">
        <v>1013</v>
      </c>
      <c r="O2" t="s">
        <v>226</v>
      </c>
      <c r="P2" t="s">
        <v>226</v>
      </c>
      <c r="Q2">
        <v>1</v>
      </c>
      <c r="X2">
        <v>107.04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1</v>
      </c>
      <c r="AF2" t="s">
        <v>6</v>
      </c>
      <c r="AG2">
        <v>107.04</v>
      </c>
      <c r="AH2">
        <v>2</v>
      </c>
      <c r="AI2">
        <v>44171225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ROW(Source!A35)</f>
        <v>35</v>
      </c>
      <c r="B3">
        <v>44171234</v>
      </c>
      <c r="C3">
        <v>44171231</v>
      </c>
      <c r="D3">
        <v>34984826</v>
      </c>
      <c r="E3">
        <v>34959076</v>
      </c>
      <c r="F3">
        <v>1</v>
      </c>
      <c r="G3">
        <v>34959076</v>
      </c>
      <c r="H3">
        <v>1</v>
      </c>
      <c r="I3" t="s">
        <v>224</v>
      </c>
      <c r="J3" t="s">
        <v>6</v>
      </c>
      <c r="K3" t="s">
        <v>225</v>
      </c>
      <c r="L3">
        <v>1191</v>
      </c>
      <c r="N3">
        <v>1013</v>
      </c>
      <c r="O3" t="s">
        <v>226</v>
      </c>
      <c r="P3" t="s">
        <v>226</v>
      </c>
      <c r="Q3">
        <v>1</v>
      </c>
      <c r="X3">
        <v>83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6</v>
      </c>
      <c r="AG3">
        <v>83</v>
      </c>
      <c r="AH3">
        <v>2</v>
      </c>
      <c r="AI3">
        <v>44171232</v>
      </c>
      <c r="AJ3">
        <v>5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ROW(Source!A37)</f>
        <v>37</v>
      </c>
      <c r="B4">
        <v>44171240</v>
      </c>
      <c r="C4">
        <v>44171236</v>
      </c>
      <c r="D4">
        <v>34984826</v>
      </c>
      <c r="E4">
        <v>34959076</v>
      </c>
      <c r="F4">
        <v>1</v>
      </c>
      <c r="G4">
        <v>34959076</v>
      </c>
      <c r="H4">
        <v>1</v>
      </c>
      <c r="I4" t="s">
        <v>224</v>
      </c>
      <c r="J4" t="s">
        <v>6</v>
      </c>
      <c r="K4" t="s">
        <v>225</v>
      </c>
      <c r="L4">
        <v>1191</v>
      </c>
      <c r="N4">
        <v>1013</v>
      </c>
      <c r="O4" t="s">
        <v>226</v>
      </c>
      <c r="P4" t="s">
        <v>226</v>
      </c>
      <c r="Q4">
        <v>1</v>
      </c>
      <c r="X4">
        <v>0.6</v>
      </c>
      <c r="Y4">
        <v>0</v>
      </c>
      <c r="Z4">
        <v>0</v>
      </c>
      <c r="AA4">
        <v>0</v>
      </c>
      <c r="AB4">
        <v>0</v>
      </c>
      <c r="AC4">
        <v>0</v>
      </c>
      <c r="AD4">
        <v>1</v>
      </c>
      <c r="AE4">
        <v>1</v>
      </c>
      <c r="AF4" t="s">
        <v>6</v>
      </c>
      <c r="AG4">
        <v>0.6</v>
      </c>
      <c r="AH4">
        <v>2</v>
      </c>
      <c r="AI4">
        <v>44171237</v>
      </c>
      <c r="AJ4">
        <v>6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ROW(Source!A37)</f>
        <v>37</v>
      </c>
      <c r="B5">
        <v>44171241</v>
      </c>
      <c r="C5">
        <v>44171236</v>
      </c>
      <c r="D5">
        <v>38777804</v>
      </c>
      <c r="E5">
        <v>1</v>
      </c>
      <c r="F5">
        <v>1</v>
      </c>
      <c r="G5">
        <v>34959076</v>
      </c>
      <c r="H5">
        <v>2</v>
      </c>
      <c r="I5" t="s">
        <v>229</v>
      </c>
      <c r="J5" t="s">
        <v>230</v>
      </c>
      <c r="K5" t="s">
        <v>231</v>
      </c>
      <c r="L5">
        <v>1367</v>
      </c>
      <c r="N5">
        <v>1011</v>
      </c>
      <c r="O5" t="s">
        <v>232</v>
      </c>
      <c r="P5" t="s">
        <v>232</v>
      </c>
      <c r="Q5">
        <v>1</v>
      </c>
      <c r="X5">
        <v>0.6</v>
      </c>
      <c r="Y5">
        <v>0</v>
      </c>
      <c r="Z5">
        <v>1948.76</v>
      </c>
      <c r="AA5">
        <v>74.41</v>
      </c>
      <c r="AB5">
        <v>0</v>
      </c>
      <c r="AC5">
        <v>0</v>
      </c>
      <c r="AD5">
        <v>1</v>
      </c>
      <c r="AE5">
        <v>0</v>
      </c>
      <c r="AF5" t="s">
        <v>6</v>
      </c>
      <c r="AG5">
        <v>0.6</v>
      </c>
      <c r="AH5">
        <v>2</v>
      </c>
      <c r="AI5">
        <v>44171238</v>
      </c>
      <c r="AJ5">
        <v>7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ROW(Source!A37)</f>
        <v>37</v>
      </c>
      <c r="B6">
        <v>44171242</v>
      </c>
      <c r="C6">
        <v>44171236</v>
      </c>
      <c r="D6">
        <v>35065040</v>
      </c>
      <c r="E6">
        <v>1</v>
      </c>
      <c r="F6">
        <v>1</v>
      </c>
      <c r="G6">
        <v>34959076</v>
      </c>
      <c r="H6">
        <v>2</v>
      </c>
      <c r="I6" t="s">
        <v>233</v>
      </c>
      <c r="J6" t="s">
        <v>234</v>
      </c>
      <c r="K6" t="s">
        <v>235</v>
      </c>
      <c r="L6">
        <v>1367</v>
      </c>
      <c r="N6">
        <v>1011</v>
      </c>
      <c r="O6" t="s">
        <v>232</v>
      </c>
      <c r="P6" t="s">
        <v>232</v>
      </c>
      <c r="Q6">
        <v>1</v>
      </c>
      <c r="X6">
        <v>0.57999999999999996</v>
      </c>
      <c r="Y6">
        <v>0</v>
      </c>
      <c r="Z6">
        <v>117.73</v>
      </c>
      <c r="AA6">
        <v>24.08</v>
      </c>
      <c r="AB6">
        <v>0</v>
      </c>
      <c r="AC6">
        <v>0</v>
      </c>
      <c r="AD6">
        <v>1</v>
      </c>
      <c r="AE6">
        <v>0</v>
      </c>
      <c r="AF6" t="s">
        <v>6</v>
      </c>
      <c r="AG6">
        <v>0.57999999999999996</v>
      </c>
      <c r="AH6">
        <v>2</v>
      </c>
      <c r="AI6">
        <v>44171239</v>
      </c>
      <c r="AJ6">
        <v>8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ROW(Source!A38)</f>
        <v>38</v>
      </c>
      <c r="B7">
        <v>44171259</v>
      </c>
      <c r="C7">
        <v>44171243</v>
      </c>
      <c r="D7">
        <v>34984826</v>
      </c>
      <c r="E7">
        <v>34959076</v>
      </c>
      <c r="F7">
        <v>1</v>
      </c>
      <c r="G7">
        <v>34959076</v>
      </c>
      <c r="H7">
        <v>1</v>
      </c>
      <c r="I7" t="s">
        <v>224</v>
      </c>
      <c r="J7" t="s">
        <v>6</v>
      </c>
      <c r="K7" t="s">
        <v>225</v>
      </c>
      <c r="L7">
        <v>1191</v>
      </c>
      <c r="N7">
        <v>1013</v>
      </c>
      <c r="O7" t="s">
        <v>226</v>
      </c>
      <c r="P7" t="s">
        <v>226</v>
      </c>
      <c r="Q7">
        <v>1</v>
      </c>
      <c r="X7">
        <v>2.2200000000000002</v>
      </c>
      <c r="Y7">
        <v>0</v>
      </c>
      <c r="Z7">
        <v>0</v>
      </c>
      <c r="AA7">
        <v>0</v>
      </c>
      <c r="AB7">
        <v>0</v>
      </c>
      <c r="AC7">
        <v>0</v>
      </c>
      <c r="AD7">
        <v>1</v>
      </c>
      <c r="AE7">
        <v>1</v>
      </c>
      <c r="AF7" t="s">
        <v>6</v>
      </c>
      <c r="AG7">
        <v>2.2200000000000002</v>
      </c>
      <c r="AH7">
        <v>2</v>
      </c>
      <c r="AI7">
        <v>44171244</v>
      </c>
      <c r="AJ7">
        <v>9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ROW(Source!A38)</f>
        <v>38</v>
      </c>
      <c r="B8">
        <v>44171260</v>
      </c>
      <c r="C8">
        <v>44171243</v>
      </c>
      <c r="D8">
        <v>35065139</v>
      </c>
      <c r="E8">
        <v>1</v>
      </c>
      <c r="F8">
        <v>1</v>
      </c>
      <c r="G8">
        <v>34959076</v>
      </c>
      <c r="H8">
        <v>2</v>
      </c>
      <c r="I8" t="s">
        <v>236</v>
      </c>
      <c r="J8" t="s">
        <v>237</v>
      </c>
      <c r="K8" t="s">
        <v>238</v>
      </c>
      <c r="L8">
        <v>1367</v>
      </c>
      <c r="N8">
        <v>1011</v>
      </c>
      <c r="O8" t="s">
        <v>232</v>
      </c>
      <c r="P8" t="s">
        <v>232</v>
      </c>
      <c r="Q8">
        <v>1</v>
      </c>
      <c r="X8">
        <v>0.21</v>
      </c>
      <c r="Y8">
        <v>0</v>
      </c>
      <c r="Z8">
        <v>50.27</v>
      </c>
      <c r="AA8">
        <v>15</v>
      </c>
      <c r="AB8">
        <v>0</v>
      </c>
      <c r="AC8">
        <v>0</v>
      </c>
      <c r="AD8">
        <v>1</v>
      </c>
      <c r="AE8">
        <v>0</v>
      </c>
      <c r="AF8" t="s">
        <v>6</v>
      </c>
      <c r="AG8">
        <v>0.21</v>
      </c>
      <c r="AH8">
        <v>2</v>
      </c>
      <c r="AI8">
        <v>44171245</v>
      </c>
      <c r="AJ8">
        <v>10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ROW(Source!A38)</f>
        <v>38</v>
      </c>
      <c r="B9">
        <v>44171261</v>
      </c>
      <c r="C9">
        <v>44171243</v>
      </c>
      <c r="D9">
        <v>38777804</v>
      </c>
      <c r="E9">
        <v>1</v>
      </c>
      <c r="F9">
        <v>1</v>
      </c>
      <c r="G9">
        <v>34959076</v>
      </c>
      <c r="H9">
        <v>2</v>
      </c>
      <c r="I9" t="s">
        <v>229</v>
      </c>
      <c r="J9" t="s">
        <v>230</v>
      </c>
      <c r="K9" t="s">
        <v>231</v>
      </c>
      <c r="L9">
        <v>1367</v>
      </c>
      <c r="N9">
        <v>1011</v>
      </c>
      <c r="O9" t="s">
        <v>232</v>
      </c>
      <c r="P9" t="s">
        <v>232</v>
      </c>
      <c r="Q9">
        <v>1</v>
      </c>
      <c r="X9">
        <v>0.92</v>
      </c>
      <c r="Y9">
        <v>0</v>
      </c>
      <c r="Z9">
        <v>1948.76</v>
      </c>
      <c r="AA9">
        <v>74.41</v>
      </c>
      <c r="AB9">
        <v>0</v>
      </c>
      <c r="AC9">
        <v>0</v>
      </c>
      <c r="AD9">
        <v>1</v>
      </c>
      <c r="AE9">
        <v>0</v>
      </c>
      <c r="AF9" t="s">
        <v>6</v>
      </c>
      <c r="AG9">
        <v>0.92</v>
      </c>
      <c r="AH9">
        <v>2</v>
      </c>
      <c r="AI9">
        <v>44171246</v>
      </c>
      <c r="AJ9">
        <v>11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ROW(Source!A38)</f>
        <v>38</v>
      </c>
      <c r="B10">
        <v>44171262</v>
      </c>
      <c r="C10">
        <v>44171243</v>
      </c>
      <c r="D10">
        <v>35065321</v>
      </c>
      <c r="E10">
        <v>1</v>
      </c>
      <c r="F10">
        <v>1</v>
      </c>
      <c r="G10">
        <v>34959076</v>
      </c>
      <c r="H10">
        <v>2</v>
      </c>
      <c r="I10" t="s">
        <v>239</v>
      </c>
      <c r="J10" t="s">
        <v>240</v>
      </c>
      <c r="K10" t="s">
        <v>241</v>
      </c>
      <c r="L10">
        <v>1367</v>
      </c>
      <c r="N10">
        <v>1011</v>
      </c>
      <c r="O10" t="s">
        <v>232</v>
      </c>
      <c r="P10" t="s">
        <v>232</v>
      </c>
      <c r="Q10">
        <v>1</v>
      </c>
      <c r="X10">
        <v>0.16</v>
      </c>
      <c r="Y10">
        <v>0</v>
      </c>
      <c r="Z10">
        <v>199.18</v>
      </c>
      <c r="AA10">
        <v>22.36</v>
      </c>
      <c r="AB10">
        <v>0</v>
      </c>
      <c r="AC10">
        <v>0</v>
      </c>
      <c r="AD10">
        <v>1</v>
      </c>
      <c r="AE10">
        <v>0</v>
      </c>
      <c r="AF10" t="s">
        <v>6</v>
      </c>
      <c r="AG10">
        <v>0.16</v>
      </c>
      <c r="AH10">
        <v>2</v>
      </c>
      <c r="AI10">
        <v>44171247</v>
      </c>
      <c r="AJ10">
        <v>12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ROW(Source!A38)</f>
        <v>38</v>
      </c>
      <c r="B11">
        <v>44171263</v>
      </c>
      <c r="C11">
        <v>44171243</v>
      </c>
      <c r="D11">
        <v>35065468</v>
      </c>
      <c r="E11">
        <v>1</v>
      </c>
      <c r="F11">
        <v>1</v>
      </c>
      <c r="G11">
        <v>34959076</v>
      </c>
      <c r="H11">
        <v>2</v>
      </c>
      <c r="I11" t="s">
        <v>242</v>
      </c>
      <c r="J11" t="s">
        <v>243</v>
      </c>
      <c r="K11" t="s">
        <v>244</v>
      </c>
      <c r="L11">
        <v>1367</v>
      </c>
      <c r="N11">
        <v>1011</v>
      </c>
      <c r="O11" t="s">
        <v>232</v>
      </c>
      <c r="P11" t="s">
        <v>232</v>
      </c>
      <c r="Q11">
        <v>1</v>
      </c>
      <c r="X11">
        <v>0.04</v>
      </c>
      <c r="Y11">
        <v>0</v>
      </c>
      <c r="Z11">
        <v>64.89</v>
      </c>
      <c r="AA11">
        <v>7.74</v>
      </c>
      <c r="AB11">
        <v>0</v>
      </c>
      <c r="AC11">
        <v>0</v>
      </c>
      <c r="AD11">
        <v>1</v>
      </c>
      <c r="AE11">
        <v>0</v>
      </c>
      <c r="AF11" t="s">
        <v>6</v>
      </c>
      <c r="AG11">
        <v>0.04</v>
      </c>
      <c r="AH11">
        <v>2</v>
      </c>
      <c r="AI11">
        <v>44171248</v>
      </c>
      <c r="AJ11">
        <v>13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ROW(Source!A38)</f>
        <v>38</v>
      </c>
      <c r="B12">
        <v>44171264</v>
      </c>
      <c r="C12">
        <v>44171243</v>
      </c>
      <c r="D12">
        <v>35064722</v>
      </c>
      <c r="E12">
        <v>1</v>
      </c>
      <c r="F12">
        <v>1</v>
      </c>
      <c r="G12">
        <v>34959076</v>
      </c>
      <c r="H12">
        <v>2</v>
      </c>
      <c r="I12" t="s">
        <v>245</v>
      </c>
      <c r="J12" t="s">
        <v>246</v>
      </c>
      <c r="K12" t="s">
        <v>247</v>
      </c>
      <c r="L12">
        <v>1367</v>
      </c>
      <c r="N12">
        <v>1011</v>
      </c>
      <c r="O12" t="s">
        <v>232</v>
      </c>
      <c r="P12" t="s">
        <v>232</v>
      </c>
      <c r="Q12">
        <v>1</v>
      </c>
      <c r="X12">
        <v>0.35</v>
      </c>
      <c r="Y12">
        <v>0</v>
      </c>
      <c r="Z12">
        <v>177.86</v>
      </c>
      <c r="AA12">
        <v>35.700000000000003</v>
      </c>
      <c r="AB12">
        <v>0</v>
      </c>
      <c r="AC12">
        <v>0</v>
      </c>
      <c r="AD12">
        <v>1</v>
      </c>
      <c r="AE12">
        <v>0</v>
      </c>
      <c r="AF12" t="s">
        <v>6</v>
      </c>
      <c r="AG12">
        <v>0.35</v>
      </c>
      <c r="AH12">
        <v>2</v>
      </c>
      <c r="AI12">
        <v>44171249</v>
      </c>
      <c r="AJ12">
        <v>14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ROW(Source!A38)</f>
        <v>38</v>
      </c>
      <c r="B13">
        <v>44171265</v>
      </c>
      <c r="C13">
        <v>44171243</v>
      </c>
      <c r="D13">
        <v>35064877</v>
      </c>
      <c r="E13">
        <v>1</v>
      </c>
      <c r="F13">
        <v>1</v>
      </c>
      <c r="G13">
        <v>34959076</v>
      </c>
      <c r="H13">
        <v>2</v>
      </c>
      <c r="I13" t="s">
        <v>248</v>
      </c>
      <c r="J13" t="s">
        <v>249</v>
      </c>
      <c r="K13" t="s">
        <v>250</v>
      </c>
      <c r="L13">
        <v>1367</v>
      </c>
      <c r="N13">
        <v>1011</v>
      </c>
      <c r="O13" t="s">
        <v>232</v>
      </c>
      <c r="P13" t="s">
        <v>232</v>
      </c>
      <c r="Q13">
        <v>1</v>
      </c>
      <c r="X13">
        <v>0.21</v>
      </c>
      <c r="Y13">
        <v>0</v>
      </c>
      <c r="Z13">
        <v>148.88999999999999</v>
      </c>
      <c r="AA13">
        <v>28.61</v>
      </c>
      <c r="AB13">
        <v>0</v>
      </c>
      <c r="AC13">
        <v>0</v>
      </c>
      <c r="AD13">
        <v>1</v>
      </c>
      <c r="AE13">
        <v>0</v>
      </c>
      <c r="AF13" t="s">
        <v>6</v>
      </c>
      <c r="AG13">
        <v>0.21</v>
      </c>
      <c r="AH13">
        <v>2</v>
      </c>
      <c r="AI13">
        <v>44171250</v>
      </c>
      <c r="AJ13">
        <v>15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ROW(Source!A38)</f>
        <v>38</v>
      </c>
      <c r="B14">
        <v>44171266</v>
      </c>
      <c r="C14">
        <v>44171243</v>
      </c>
      <c r="D14">
        <v>38777799</v>
      </c>
      <c r="E14">
        <v>1</v>
      </c>
      <c r="F14">
        <v>1</v>
      </c>
      <c r="G14">
        <v>34959076</v>
      </c>
      <c r="H14">
        <v>2</v>
      </c>
      <c r="I14" t="s">
        <v>251</v>
      </c>
      <c r="J14" t="s">
        <v>252</v>
      </c>
      <c r="K14" t="s">
        <v>253</v>
      </c>
      <c r="L14">
        <v>1367</v>
      </c>
      <c r="N14">
        <v>1011</v>
      </c>
      <c r="O14" t="s">
        <v>232</v>
      </c>
      <c r="P14" t="s">
        <v>232</v>
      </c>
      <c r="Q14">
        <v>1</v>
      </c>
      <c r="X14">
        <v>0.92</v>
      </c>
      <c r="Y14">
        <v>0</v>
      </c>
      <c r="Z14">
        <v>80.14</v>
      </c>
      <c r="AA14">
        <v>18.739999999999998</v>
      </c>
      <c r="AB14">
        <v>0</v>
      </c>
      <c r="AC14">
        <v>0</v>
      </c>
      <c r="AD14">
        <v>1</v>
      </c>
      <c r="AE14">
        <v>0</v>
      </c>
      <c r="AF14" t="s">
        <v>6</v>
      </c>
      <c r="AG14">
        <v>0.92</v>
      </c>
      <c r="AH14">
        <v>2</v>
      </c>
      <c r="AI14">
        <v>44171251</v>
      </c>
      <c r="AJ14">
        <v>16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ROW(Source!A38)</f>
        <v>38</v>
      </c>
      <c r="B15">
        <v>44171267</v>
      </c>
      <c r="C15">
        <v>44171243</v>
      </c>
      <c r="D15">
        <v>34984824</v>
      </c>
      <c r="E15">
        <v>34959076</v>
      </c>
      <c r="F15">
        <v>1</v>
      </c>
      <c r="G15">
        <v>34959076</v>
      </c>
      <c r="H15">
        <v>2</v>
      </c>
      <c r="I15" t="s">
        <v>254</v>
      </c>
      <c r="J15" t="s">
        <v>6</v>
      </c>
      <c r="K15" t="s">
        <v>255</v>
      </c>
      <c r="L15">
        <v>1344</v>
      </c>
      <c r="N15">
        <v>1008</v>
      </c>
      <c r="O15" t="s">
        <v>256</v>
      </c>
      <c r="P15" t="s">
        <v>256</v>
      </c>
      <c r="Q15">
        <v>1</v>
      </c>
      <c r="X15">
        <v>0.01</v>
      </c>
      <c r="Y15">
        <v>0</v>
      </c>
      <c r="Z15">
        <v>1</v>
      </c>
      <c r="AA15">
        <v>0</v>
      </c>
      <c r="AB15">
        <v>0</v>
      </c>
      <c r="AC15">
        <v>0</v>
      </c>
      <c r="AD15">
        <v>1</v>
      </c>
      <c r="AE15">
        <v>0</v>
      </c>
      <c r="AF15" t="s">
        <v>6</v>
      </c>
      <c r="AG15">
        <v>0.01</v>
      </c>
      <c r="AH15">
        <v>2</v>
      </c>
      <c r="AI15">
        <v>44171252</v>
      </c>
      <c r="AJ15">
        <v>17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ROW(Source!A38)</f>
        <v>38</v>
      </c>
      <c r="B16">
        <v>44171268</v>
      </c>
      <c r="C16">
        <v>44171243</v>
      </c>
      <c r="D16">
        <v>35043080</v>
      </c>
      <c r="E16">
        <v>1</v>
      </c>
      <c r="F16">
        <v>1</v>
      </c>
      <c r="G16">
        <v>34959076</v>
      </c>
      <c r="H16">
        <v>3</v>
      </c>
      <c r="I16" t="s">
        <v>257</v>
      </c>
      <c r="J16" t="s">
        <v>258</v>
      </c>
      <c r="K16" t="s">
        <v>259</v>
      </c>
      <c r="L16">
        <v>1348</v>
      </c>
      <c r="N16">
        <v>1009</v>
      </c>
      <c r="O16" t="s">
        <v>260</v>
      </c>
      <c r="P16" t="s">
        <v>260</v>
      </c>
      <c r="Q16">
        <v>1000</v>
      </c>
      <c r="X16">
        <v>2.3014699999999999E-3</v>
      </c>
      <c r="Y16">
        <v>5778.3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0</v>
      </c>
      <c r="AF16" t="s">
        <v>6</v>
      </c>
      <c r="AG16">
        <v>2.3014699999999999E-3</v>
      </c>
      <c r="AH16">
        <v>2</v>
      </c>
      <c r="AI16">
        <v>44171253</v>
      </c>
      <c r="AJ16">
        <v>18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ROW(Source!A38)</f>
        <v>38</v>
      </c>
      <c r="B17">
        <v>44171269</v>
      </c>
      <c r="C17">
        <v>44171243</v>
      </c>
      <c r="D17">
        <v>35043897</v>
      </c>
      <c r="E17">
        <v>1</v>
      </c>
      <c r="F17">
        <v>1</v>
      </c>
      <c r="G17">
        <v>34959076</v>
      </c>
      <c r="H17">
        <v>3</v>
      </c>
      <c r="I17" t="s">
        <v>261</v>
      </c>
      <c r="J17" t="s">
        <v>262</v>
      </c>
      <c r="K17" t="s">
        <v>263</v>
      </c>
      <c r="L17">
        <v>1339</v>
      </c>
      <c r="N17">
        <v>1007</v>
      </c>
      <c r="O17" t="s">
        <v>43</v>
      </c>
      <c r="P17" t="s">
        <v>43</v>
      </c>
      <c r="Q17">
        <v>1</v>
      </c>
      <c r="X17">
        <v>3.15</v>
      </c>
      <c r="Y17">
        <v>7.07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6</v>
      </c>
      <c r="AG17">
        <v>3.15</v>
      </c>
      <c r="AH17">
        <v>2</v>
      </c>
      <c r="AI17">
        <v>44171254</v>
      </c>
      <c r="AJ17">
        <v>19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ROW(Source!A38)</f>
        <v>38</v>
      </c>
      <c r="B18">
        <v>44171270</v>
      </c>
      <c r="C18">
        <v>44171243</v>
      </c>
      <c r="D18">
        <v>35041443</v>
      </c>
      <c r="E18">
        <v>1</v>
      </c>
      <c r="F18">
        <v>1</v>
      </c>
      <c r="G18">
        <v>34959076</v>
      </c>
      <c r="H18">
        <v>3</v>
      </c>
      <c r="I18" t="s">
        <v>264</v>
      </c>
      <c r="J18" t="s">
        <v>265</v>
      </c>
      <c r="K18" t="s">
        <v>266</v>
      </c>
      <c r="L18">
        <v>1346</v>
      </c>
      <c r="N18">
        <v>1009</v>
      </c>
      <c r="O18" t="s">
        <v>73</v>
      </c>
      <c r="P18" t="s">
        <v>73</v>
      </c>
      <c r="Q18">
        <v>1</v>
      </c>
      <c r="X18">
        <v>4.6699999999999998E-2</v>
      </c>
      <c r="Y18">
        <v>7.48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6</v>
      </c>
      <c r="AG18">
        <v>4.6699999999999998E-2</v>
      </c>
      <c r="AH18">
        <v>2</v>
      </c>
      <c r="AI18">
        <v>44171255</v>
      </c>
      <c r="AJ18">
        <v>21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ROW(Source!A38)</f>
        <v>38</v>
      </c>
      <c r="B19">
        <v>44171271</v>
      </c>
      <c r="C19">
        <v>44171243</v>
      </c>
      <c r="D19">
        <v>38774482</v>
      </c>
      <c r="E19">
        <v>34959076</v>
      </c>
      <c r="F19">
        <v>1</v>
      </c>
      <c r="G19">
        <v>34959076</v>
      </c>
      <c r="H19">
        <v>3</v>
      </c>
      <c r="I19" t="s">
        <v>270</v>
      </c>
      <c r="J19" t="s">
        <v>6</v>
      </c>
      <c r="K19" t="s">
        <v>271</v>
      </c>
      <c r="L19">
        <v>1346</v>
      </c>
      <c r="N19">
        <v>1009</v>
      </c>
      <c r="O19" t="s">
        <v>73</v>
      </c>
      <c r="P19" t="s">
        <v>73</v>
      </c>
      <c r="Q19">
        <v>1</v>
      </c>
      <c r="X19">
        <v>179.2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 t="s">
        <v>6</v>
      </c>
      <c r="AG19">
        <v>179.2</v>
      </c>
      <c r="AH19">
        <v>3</v>
      </c>
      <c r="AI19">
        <v>-1</v>
      </c>
      <c r="AJ19" t="s">
        <v>6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ROW(Source!A38)</f>
        <v>38</v>
      </c>
      <c r="B20">
        <v>44171272</v>
      </c>
      <c r="C20">
        <v>44171243</v>
      </c>
      <c r="D20">
        <v>34985710</v>
      </c>
      <c r="E20">
        <v>34959076</v>
      </c>
      <c r="F20">
        <v>1</v>
      </c>
      <c r="G20">
        <v>34959076</v>
      </c>
      <c r="H20">
        <v>3</v>
      </c>
      <c r="I20" t="s">
        <v>272</v>
      </c>
      <c r="J20" t="s">
        <v>6</v>
      </c>
      <c r="K20" t="s">
        <v>273</v>
      </c>
      <c r="L20">
        <v>1301</v>
      </c>
      <c r="N20">
        <v>1003</v>
      </c>
      <c r="O20" t="s">
        <v>78</v>
      </c>
      <c r="P20" t="s">
        <v>78</v>
      </c>
      <c r="Q20">
        <v>1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 t="s">
        <v>6</v>
      </c>
      <c r="AG20">
        <v>0</v>
      </c>
      <c r="AH20">
        <v>3</v>
      </c>
      <c r="AI20">
        <v>-1</v>
      </c>
      <c r="AJ20" t="s">
        <v>6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ROW(Source!A38)</f>
        <v>38</v>
      </c>
      <c r="B21">
        <v>44171273</v>
      </c>
      <c r="C21">
        <v>44171243</v>
      </c>
      <c r="D21">
        <v>38774899</v>
      </c>
      <c r="E21">
        <v>34959076</v>
      </c>
      <c r="F21">
        <v>1</v>
      </c>
      <c r="G21">
        <v>34959076</v>
      </c>
      <c r="H21">
        <v>3</v>
      </c>
      <c r="I21" t="s">
        <v>274</v>
      </c>
      <c r="J21" t="s">
        <v>6</v>
      </c>
      <c r="K21" t="s">
        <v>275</v>
      </c>
      <c r="L21">
        <v>1296</v>
      </c>
      <c r="N21">
        <v>1002</v>
      </c>
      <c r="O21" t="s">
        <v>83</v>
      </c>
      <c r="P21" t="s">
        <v>83</v>
      </c>
      <c r="Q21">
        <v>1</v>
      </c>
      <c r="X21">
        <v>9.8176000000000005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 t="s">
        <v>6</v>
      </c>
      <c r="AG21">
        <v>9.8176000000000005</v>
      </c>
      <c r="AH21">
        <v>3</v>
      </c>
      <c r="AI21">
        <v>-1</v>
      </c>
      <c r="AJ21" t="s">
        <v>6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ROW(Source!A42)</f>
        <v>42</v>
      </c>
      <c r="B22">
        <v>44171279</v>
      </c>
      <c r="C22">
        <v>44171277</v>
      </c>
      <c r="D22">
        <v>35065183</v>
      </c>
      <c r="E22">
        <v>1</v>
      </c>
      <c r="F22">
        <v>1</v>
      </c>
      <c r="G22">
        <v>34959076</v>
      </c>
      <c r="H22">
        <v>2</v>
      </c>
      <c r="I22" t="s">
        <v>267</v>
      </c>
      <c r="J22" t="s">
        <v>268</v>
      </c>
      <c r="K22" t="s">
        <v>269</v>
      </c>
      <c r="L22">
        <v>1367</v>
      </c>
      <c r="N22">
        <v>1011</v>
      </c>
      <c r="O22" t="s">
        <v>232</v>
      </c>
      <c r="P22" t="s">
        <v>232</v>
      </c>
      <c r="Q22">
        <v>1</v>
      </c>
      <c r="X22">
        <v>1.82</v>
      </c>
      <c r="Y22">
        <v>0</v>
      </c>
      <c r="Z22">
        <v>14.12</v>
      </c>
      <c r="AA22">
        <v>0.32</v>
      </c>
      <c r="AB22">
        <v>0</v>
      </c>
      <c r="AC22">
        <v>0</v>
      </c>
      <c r="AD22">
        <v>1</v>
      </c>
      <c r="AE22">
        <v>0</v>
      </c>
      <c r="AF22" t="s">
        <v>6</v>
      </c>
      <c r="AG22">
        <v>1.82</v>
      </c>
      <c r="AH22">
        <v>2</v>
      </c>
      <c r="AI22">
        <v>44171278</v>
      </c>
      <c r="AJ22">
        <v>24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ROW(Source!A43)</f>
        <v>43</v>
      </c>
      <c r="B23">
        <v>44171283</v>
      </c>
      <c r="C23">
        <v>44171280</v>
      </c>
      <c r="D23">
        <v>34984826</v>
      </c>
      <c r="E23">
        <v>34959076</v>
      </c>
      <c r="F23">
        <v>1</v>
      </c>
      <c r="G23">
        <v>34959076</v>
      </c>
      <c r="H23">
        <v>1</v>
      </c>
      <c r="I23" t="s">
        <v>224</v>
      </c>
      <c r="J23" t="s">
        <v>6</v>
      </c>
      <c r="K23" t="s">
        <v>225</v>
      </c>
      <c r="L23">
        <v>1191</v>
      </c>
      <c r="N23">
        <v>1013</v>
      </c>
      <c r="O23" t="s">
        <v>226</v>
      </c>
      <c r="P23" t="s">
        <v>226</v>
      </c>
      <c r="Q23">
        <v>1</v>
      </c>
      <c r="X23">
        <v>0.26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1</v>
      </c>
      <c r="AF23" t="s">
        <v>6</v>
      </c>
      <c r="AG23">
        <v>0.26</v>
      </c>
      <c r="AH23">
        <v>2</v>
      </c>
      <c r="AI23">
        <v>44171281</v>
      </c>
      <c r="AJ23">
        <v>25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ROW(Source!A43)</f>
        <v>43</v>
      </c>
      <c r="B24">
        <v>44171284</v>
      </c>
      <c r="C24">
        <v>44171280</v>
      </c>
      <c r="D24">
        <v>38777804</v>
      </c>
      <c r="E24">
        <v>1</v>
      </c>
      <c r="F24">
        <v>1</v>
      </c>
      <c r="G24">
        <v>34959076</v>
      </c>
      <c r="H24">
        <v>2</v>
      </c>
      <c r="I24" t="s">
        <v>229</v>
      </c>
      <c r="J24" t="s">
        <v>230</v>
      </c>
      <c r="K24" t="s">
        <v>231</v>
      </c>
      <c r="L24">
        <v>1367</v>
      </c>
      <c r="N24">
        <v>1011</v>
      </c>
      <c r="O24" t="s">
        <v>232</v>
      </c>
      <c r="P24" t="s">
        <v>232</v>
      </c>
      <c r="Q24">
        <v>1</v>
      </c>
      <c r="X24">
        <v>0.26</v>
      </c>
      <c r="Y24">
        <v>0</v>
      </c>
      <c r="Z24">
        <v>1948.76</v>
      </c>
      <c r="AA24">
        <v>74.41</v>
      </c>
      <c r="AB24">
        <v>0</v>
      </c>
      <c r="AC24">
        <v>0</v>
      </c>
      <c r="AD24">
        <v>1</v>
      </c>
      <c r="AE24">
        <v>0</v>
      </c>
      <c r="AF24" t="s">
        <v>6</v>
      </c>
      <c r="AG24">
        <v>0.26</v>
      </c>
      <c r="AH24">
        <v>2</v>
      </c>
      <c r="AI24">
        <v>44171282</v>
      </c>
      <c r="AJ24">
        <v>26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ROW(Source!A45)</f>
        <v>45</v>
      </c>
      <c r="B25">
        <v>44171290</v>
      </c>
      <c r="C25">
        <v>44171286</v>
      </c>
      <c r="D25">
        <v>34984826</v>
      </c>
      <c r="E25">
        <v>34959076</v>
      </c>
      <c r="F25">
        <v>1</v>
      </c>
      <c r="G25">
        <v>34959076</v>
      </c>
      <c r="H25">
        <v>1</v>
      </c>
      <c r="I25" t="s">
        <v>224</v>
      </c>
      <c r="J25" t="s">
        <v>6</v>
      </c>
      <c r="K25" t="s">
        <v>225</v>
      </c>
      <c r="L25">
        <v>1191</v>
      </c>
      <c r="N25">
        <v>1013</v>
      </c>
      <c r="O25" t="s">
        <v>226</v>
      </c>
      <c r="P25" t="s">
        <v>226</v>
      </c>
      <c r="Q25">
        <v>1</v>
      </c>
      <c r="X25">
        <v>0.6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6</v>
      </c>
      <c r="AG25">
        <v>0.6</v>
      </c>
      <c r="AH25">
        <v>2</v>
      </c>
      <c r="AI25">
        <v>44171287</v>
      </c>
      <c r="AJ25">
        <v>27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ROW(Source!A45)</f>
        <v>45</v>
      </c>
      <c r="B26">
        <v>44171291</v>
      </c>
      <c r="C26">
        <v>44171286</v>
      </c>
      <c r="D26">
        <v>38777804</v>
      </c>
      <c r="E26">
        <v>1</v>
      </c>
      <c r="F26">
        <v>1</v>
      </c>
      <c r="G26">
        <v>34959076</v>
      </c>
      <c r="H26">
        <v>2</v>
      </c>
      <c r="I26" t="s">
        <v>229</v>
      </c>
      <c r="J26" t="s">
        <v>230</v>
      </c>
      <c r="K26" t="s">
        <v>231</v>
      </c>
      <c r="L26">
        <v>1367</v>
      </c>
      <c r="N26">
        <v>1011</v>
      </c>
      <c r="O26" t="s">
        <v>232</v>
      </c>
      <c r="P26" t="s">
        <v>232</v>
      </c>
      <c r="Q26">
        <v>1</v>
      </c>
      <c r="X26">
        <v>0.6</v>
      </c>
      <c r="Y26">
        <v>0</v>
      </c>
      <c r="Z26">
        <v>1948.76</v>
      </c>
      <c r="AA26">
        <v>74.41</v>
      </c>
      <c r="AB26">
        <v>0</v>
      </c>
      <c r="AC26">
        <v>0</v>
      </c>
      <c r="AD26">
        <v>1</v>
      </c>
      <c r="AE26">
        <v>0</v>
      </c>
      <c r="AF26" t="s">
        <v>6</v>
      </c>
      <c r="AG26">
        <v>0.6</v>
      </c>
      <c r="AH26">
        <v>2</v>
      </c>
      <c r="AI26">
        <v>44171288</v>
      </c>
      <c r="AJ26">
        <v>28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ROW(Source!A45)</f>
        <v>45</v>
      </c>
      <c r="B27">
        <v>44171292</v>
      </c>
      <c r="C27">
        <v>44171286</v>
      </c>
      <c r="D27">
        <v>35065040</v>
      </c>
      <c r="E27">
        <v>1</v>
      </c>
      <c r="F27">
        <v>1</v>
      </c>
      <c r="G27">
        <v>34959076</v>
      </c>
      <c r="H27">
        <v>2</v>
      </c>
      <c r="I27" t="s">
        <v>233</v>
      </c>
      <c r="J27" t="s">
        <v>234</v>
      </c>
      <c r="K27" t="s">
        <v>235</v>
      </c>
      <c r="L27">
        <v>1367</v>
      </c>
      <c r="N27">
        <v>1011</v>
      </c>
      <c r="O27" t="s">
        <v>232</v>
      </c>
      <c r="P27" t="s">
        <v>232</v>
      </c>
      <c r="Q27">
        <v>1</v>
      </c>
      <c r="X27">
        <v>0.57999999999999996</v>
      </c>
      <c r="Y27">
        <v>0</v>
      </c>
      <c r="Z27">
        <v>117.73</v>
      </c>
      <c r="AA27">
        <v>24.08</v>
      </c>
      <c r="AB27">
        <v>0</v>
      </c>
      <c r="AC27">
        <v>0</v>
      </c>
      <c r="AD27">
        <v>1</v>
      </c>
      <c r="AE27">
        <v>0</v>
      </c>
      <c r="AF27" t="s">
        <v>6</v>
      </c>
      <c r="AG27">
        <v>0.57999999999999996</v>
      </c>
      <c r="AH27">
        <v>2</v>
      </c>
      <c r="AI27">
        <v>44171289</v>
      </c>
      <c r="AJ27">
        <v>29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ROW(Source!A46)</f>
        <v>46</v>
      </c>
      <c r="B28">
        <v>44171309</v>
      </c>
      <c r="C28">
        <v>44171293</v>
      </c>
      <c r="D28">
        <v>34984826</v>
      </c>
      <c r="E28">
        <v>34959076</v>
      </c>
      <c r="F28">
        <v>1</v>
      </c>
      <c r="G28">
        <v>34959076</v>
      </c>
      <c r="H28">
        <v>1</v>
      </c>
      <c r="I28" t="s">
        <v>224</v>
      </c>
      <c r="J28" t="s">
        <v>6</v>
      </c>
      <c r="K28" t="s">
        <v>225</v>
      </c>
      <c r="L28">
        <v>1191</v>
      </c>
      <c r="N28">
        <v>1013</v>
      </c>
      <c r="O28" t="s">
        <v>226</v>
      </c>
      <c r="P28" t="s">
        <v>226</v>
      </c>
      <c r="Q28">
        <v>1</v>
      </c>
      <c r="X28">
        <v>2.2200000000000002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6</v>
      </c>
      <c r="AG28">
        <v>2.2200000000000002</v>
      </c>
      <c r="AH28">
        <v>2</v>
      </c>
      <c r="AI28">
        <v>44171294</v>
      </c>
      <c r="AJ28">
        <v>30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ROW(Source!A46)</f>
        <v>46</v>
      </c>
      <c r="B29">
        <v>44171310</v>
      </c>
      <c r="C29">
        <v>44171293</v>
      </c>
      <c r="D29">
        <v>35065139</v>
      </c>
      <c r="E29">
        <v>1</v>
      </c>
      <c r="F29">
        <v>1</v>
      </c>
      <c r="G29">
        <v>34959076</v>
      </c>
      <c r="H29">
        <v>2</v>
      </c>
      <c r="I29" t="s">
        <v>236</v>
      </c>
      <c r="J29" t="s">
        <v>237</v>
      </c>
      <c r="K29" t="s">
        <v>238</v>
      </c>
      <c r="L29">
        <v>1367</v>
      </c>
      <c r="N29">
        <v>1011</v>
      </c>
      <c r="O29" t="s">
        <v>232</v>
      </c>
      <c r="P29" t="s">
        <v>232</v>
      </c>
      <c r="Q29">
        <v>1</v>
      </c>
      <c r="X29">
        <v>0.21</v>
      </c>
      <c r="Y29">
        <v>0</v>
      </c>
      <c r="Z29">
        <v>50.27</v>
      </c>
      <c r="AA29">
        <v>15</v>
      </c>
      <c r="AB29">
        <v>0</v>
      </c>
      <c r="AC29">
        <v>0</v>
      </c>
      <c r="AD29">
        <v>1</v>
      </c>
      <c r="AE29">
        <v>0</v>
      </c>
      <c r="AF29" t="s">
        <v>6</v>
      </c>
      <c r="AG29">
        <v>0.21</v>
      </c>
      <c r="AH29">
        <v>2</v>
      </c>
      <c r="AI29">
        <v>44171295</v>
      </c>
      <c r="AJ29">
        <v>31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ROW(Source!A46)</f>
        <v>46</v>
      </c>
      <c r="B30">
        <v>44171311</v>
      </c>
      <c r="C30">
        <v>44171293</v>
      </c>
      <c r="D30">
        <v>38777804</v>
      </c>
      <c r="E30">
        <v>1</v>
      </c>
      <c r="F30">
        <v>1</v>
      </c>
      <c r="G30">
        <v>34959076</v>
      </c>
      <c r="H30">
        <v>2</v>
      </c>
      <c r="I30" t="s">
        <v>229</v>
      </c>
      <c r="J30" t="s">
        <v>230</v>
      </c>
      <c r="K30" t="s">
        <v>231</v>
      </c>
      <c r="L30">
        <v>1367</v>
      </c>
      <c r="N30">
        <v>1011</v>
      </c>
      <c r="O30" t="s">
        <v>232</v>
      </c>
      <c r="P30" t="s">
        <v>232</v>
      </c>
      <c r="Q30">
        <v>1</v>
      </c>
      <c r="X30">
        <v>0.92</v>
      </c>
      <c r="Y30">
        <v>0</v>
      </c>
      <c r="Z30">
        <v>1948.76</v>
      </c>
      <c r="AA30">
        <v>74.41</v>
      </c>
      <c r="AB30">
        <v>0</v>
      </c>
      <c r="AC30">
        <v>0</v>
      </c>
      <c r="AD30">
        <v>1</v>
      </c>
      <c r="AE30">
        <v>0</v>
      </c>
      <c r="AF30" t="s">
        <v>6</v>
      </c>
      <c r="AG30">
        <v>0.92</v>
      </c>
      <c r="AH30">
        <v>2</v>
      </c>
      <c r="AI30">
        <v>44171296</v>
      </c>
      <c r="AJ30">
        <v>32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ROW(Source!A46)</f>
        <v>46</v>
      </c>
      <c r="B31">
        <v>44171312</v>
      </c>
      <c r="C31">
        <v>44171293</v>
      </c>
      <c r="D31">
        <v>35065321</v>
      </c>
      <c r="E31">
        <v>1</v>
      </c>
      <c r="F31">
        <v>1</v>
      </c>
      <c r="G31">
        <v>34959076</v>
      </c>
      <c r="H31">
        <v>2</v>
      </c>
      <c r="I31" t="s">
        <v>239</v>
      </c>
      <c r="J31" t="s">
        <v>240</v>
      </c>
      <c r="K31" t="s">
        <v>241</v>
      </c>
      <c r="L31">
        <v>1367</v>
      </c>
      <c r="N31">
        <v>1011</v>
      </c>
      <c r="O31" t="s">
        <v>232</v>
      </c>
      <c r="P31" t="s">
        <v>232</v>
      </c>
      <c r="Q31">
        <v>1</v>
      </c>
      <c r="X31">
        <v>0.16</v>
      </c>
      <c r="Y31">
        <v>0</v>
      </c>
      <c r="Z31">
        <v>199.18</v>
      </c>
      <c r="AA31">
        <v>22.36</v>
      </c>
      <c r="AB31">
        <v>0</v>
      </c>
      <c r="AC31">
        <v>0</v>
      </c>
      <c r="AD31">
        <v>1</v>
      </c>
      <c r="AE31">
        <v>0</v>
      </c>
      <c r="AF31" t="s">
        <v>6</v>
      </c>
      <c r="AG31">
        <v>0.16</v>
      </c>
      <c r="AH31">
        <v>2</v>
      </c>
      <c r="AI31">
        <v>44171297</v>
      </c>
      <c r="AJ31">
        <v>33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ROW(Source!A46)</f>
        <v>46</v>
      </c>
      <c r="B32">
        <v>44171313</v>
      </c>
      <c r="C32">
        <v>44171293</v>
      </c>
      <c r="D32">
        <v>35065468</v>
      </c>
      <c r="E32">
        <v>1</v>
      </c>
      <c r="F32">
        <v>1</v>
      </c>
      <c r="G32">
        <v>34959076</v>
      </c>
      <c r="H32">
        <v>2</v>
      </c>
      <c r="I32" t="s">
        <v>242</v>
      </c>
      <c r="J32" t="s">
        <v>243</v>
      </c>
      <c r="K32" t="s">
        <v>244</v>
      </c>
      <c r="L32">
        <v>1367</v>
      </c>
      <c r="N32">
        <v>1011</v>
      </c>
      <c r="O32" t="s">
        <v>232</v>
      </c>
      <c r="P32" t="s">
        <v>232</v>
      </c>
      <c r="Q32">
        <v>1</v>
      </c>
      <c r="X32">
        <v>0.04</v>
      </c>
      <c r="Y32">
        <v>0</v>
      </c>
      <c r="Z32">
        <v>64.89</v>
      </c>
      <c r="AA32">
        <v>7.74</v>
      </c>
      <c r="AB32">
        <v>0</v>
      </c>
      <c r="AC32">
        <v>0</v>
      </c>
      <c r="AD32">
        <v>1</v>
      </c>
      <c r="AE32">
        <v>0</v>
      </c>
      <c r="AF32" t="s">
        <v>6</v>
      </c>
      <c r="AG32">
        <v>0.04</v>
      </c>
      <c r="AH32">
        <v>2</v>
      </c>
      <c r="AI32">
        <v>44171298</v>
      </c>
      <c r="AJ32">
        <v>34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ROW(Source!A46)</f>
        <v>46</v>
      </c>
      <c r="B33">
        <v>44171314</v>
      </c>
      <c r="C33">
        <v>44171293</v>
      </c>
      <c r="D33">
        <v>35064722</v>
      </c>
      <c r="E33">
        <v>1</v>
      </c>
      <c r="F33">
        <v>1</v>
      </c>
      <c r="G33">
        <v>34959076</v>
      </c>
      <c r="H33">
        <v>2</v>
      </c>
      <c r="I33" t="s">
        <v>245</v>
      </c>
      <c r="J33" t="s">
        <v>246</v>
      </c>
      <c r="K33" t="s">
        <v>247</v>
      </c>
      <c r="L33">
        <v>1367</v>
      </c>
      <c r="N33">
        <v>1011</v>
      </c>
      <c r="O33" t="s">
        <v>232</v>
      </c>
      <c r="P33" t="s">
        <v>232</v>
      </c>
      <c r="Q33">
        <v>1</v>
      </c>
      <c r="X33">
        <v>0.35</v>
      </c>
      <c r="Y33">
        <v>0</v>
      </c>
      <c r="Z33">
        <v>177.86</v>
      </c>
      <c r="AA33">
        <v>35.700000000000003</v>
      </c>
      <c r="AB33">
        <v>0</v>
      </c>
      <c r="AC33">
        <v>0</v>
      </c>
      <c r="AD33">
        <v>1</v>
      </c>
      <c r="AE33">
        <v>0</v>
      </c>
      <c r="AF33" t="s">
        <v>6</v>
      </c>
      <c r="AG33">
        <v>0.35</v>
      </c>
      <c r="AH33">
        <v>2</v>
      </c>
      <c r="AI33">
        <v>44171299</v>
      </c>
      <c r="AJ33">
        <v>35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ROW(Source!A46)</f>
        <v>46</v>
      </c>
      <c r="B34">
        <v>44171315</v>
      </c>
      <c r="C34">
        <v>44171293</v>
      </c>
      <c r="D34">
        <v>35064877</v>
      </c>
      <c r="E34">
        <v>1</v>
      </c>
      <c r="F34">
        <v>1</v>
      </c>
      <c r="G34">
        <v>34959076</v>
      </c>
      <c r="H34">
        <v>2</v>
      </c>
      <c r="I34" t="s">
        <v>248</v>
      </c>
      <c r="J34" t="s">
        <v>249</v>
      </c>
      <c r="K34" t="s">
        <v>250</v>
      </c>
      <c r="L34">
        <v>1367</v>
      </c>
      <c r="N34">
        <v>1011</v>
      </c>
      <c r="O34" t="s">
        <v>232</v>
      </c>
      <c r="P34" t="s">
        <v>232</v>
      </c>
      <c r="Q34">
        <v>1</v>
      </c>
      <c r="X34">
        <v>0.21</v>
      </c>
      <c r="Y34">
        <v>0</v>
      </c>
      <c r="Z34">
        <v>148.88999999999999</v>
      </c>
      <c r="AA34">
        <v>28.61</v>
      </c>
      <c r="AB34">
        <v>0</v>
      </c>
      <c r="AC34">
        <v>0</v>
      </c>
      <c r="AD34">
        <v>1</v>
      </c>
      <c r="AE34">
        <v>0</v>
      </c>
      <c r="AF34" t="s">
        <v>6</v>
      </c>
      <c r="AG34">
        <v>0.21</v>
      </c>
      <c r="AH34">
        <v>2</v>
      </c>
      <c r="AI34">
        <v>44171300</v>
      </c>
      <c r="AJ34">
        <v>36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ROW(Source!A46)</f>
        <v>46</v>
      </c>
      <c r="B35">
        <v>44171316</v>
      </c>
      <c r="C35">
        <v>44171293</v>
      </c>
      <c r="D35">
        <v>38777799</v>
      </c>
      <c r="E35">
        <v>1</v>
      </c>
      <c r="F35">
        <v>1</v>
      </c>
      <c r="G35">
        <v>34959076</v>
      </c>
      <c r="H35">
        <v>2</v>
      </c>
      <c r="I35" t="s">
        <v>251</v>
      </c>
      <c r="J35" t="s">
        <v>252</v>
      </c>
      <c r="K35" t="s">
        <v>253</v>
      </c>
      <c r="L35">
        <v>1367</v>
      </c>
      <c r="N35">
        <v>1011</v>
      </c>
      <c r="O35" t="s">
        <v>232</v>
      </c>
      <c r="P35" t="s">
        <v>232</v>
      </c>
      <c r="Q35">
        <v>1</v>
      </c>
      <c r="X35">
        <v>0.92</v>
      </c>
      <c r="Y35">
        <v>0</v>
      </c>
      <c r="Z35">
        <v>80.14</v>
      </c>
      <c r="AA35">
        <v>18.739999999999998</v>
      </c>
      <c r="AB35">
        <v>0</v>
      </c>
      <c r="AC35">
        <v>0</v>
      </c>
      <c r="AD35">
        <v>1</v>
      </c>
      <c r="AE35">
        <v>0</v>
      </c>
      <c r="AF35" t="s">
        <v>6</v>
      </c>
      <c r="AG35">
        <v>0.92</v>
      </c>
      <c r="AH35">
        <v>2</v>
      </c>
      <c r="AI35">
        <v>44171301</v>
      </c>
      <c r="AJ35">
        <v>37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ROW(Source!A46)</f>
        <v>46</v>
      </c>
      <c r="B36">
        <v>44171317</v>
      </c>
      <c r="C36">
        <v>44171293</v>
      </c>
      <c r="D36">
        <v>34984824</v>
      </c>
      <c r="E36">
        <v>34959076</v>
      </c>
      <c r="F36">
        <v>1</v>
      </c>
      <c r="G36">
        <v>34959076</v>
      </c>
      <c r="H36">
        <v>2</v>
      </c>
      <c r="I36" t="s">
        <v>254</v>
      </c>
      <c r="J36" t="s">
        <v>6</v>
      </c>
      <c r="K36" t="s">
        <v>255</v>
      </c>
      <c r="L36">
        <v>1344</v>
      </c>
      <c r="N36">
        <v>1008</v>
      </c>
      <c r="O36" t="s">
        <v>256</v>
      </c>
      <c r="P36" t="s">
        <v>256</v>
      </c>
      <c r="Q36">
        <v>1</v>
      </c>
      <c r="X36">
        <v>0.01</v>
      </c>
      <c r="Y36">
        <v>0</v>
      </c>
      <c r="Z36">
        <v>1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6</v>
      </c>
      <c r="AG36">
        <v>0.01</v>
      </c>
      <c r="AH36">
        <v>2</v>
      </c>
      <c r="AI36">
        <v>44171302</v>
      </c>
      <c r="AJ36">
        <v>38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ROW(Source!A46)</f>
        <v>46</v>
      </c>
      <c r="B37">
        <v>44171318</v>
      </c>
      <c r="C37">
        <v>44171293</v>
      </c>
      <c r="D37">
        <v>35043080</v>
      </c>
      <c r="E37">
        <v>1</v>
      </c>
      <c r="F37">
        <v>1</v>
      </c>
      <c r="G37">
        <v>34959076</v>
      </c>
      <c r="H37">
        <v>3</v>
      </c>
      <c r="I37" t="s">
        <v>257</v>
      </c>
      <c r="J37" t="s">
        <v>258</v>
      </c>
      <c r="K37" t="s">
        <v>259</v>
      </c>
      <c r="L37">
        <v>1348</v>
      </c>
      <c r="N37">
        <v>1009</v>
      </c>
      <c r="O37" t="s">
        <v>260</v>
      </c>
      <c r="P37" t="s">
        <v>260</v>
      </c>
      <c r="Q37">
        <v>1000</v>
      </c>
      <c r="X37">
        <v>2.3014699999999999E-3</v>
      </c>
      <c r="Y37">
        <v>5778.3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6</v>
      </c>
      <c r="AG37">
        <v>2.3014699999999999E-3</v>
      </c>
      <c r="AH37">
        <v>2</v>
      </c>
      <c r="AI37">
        <v>44171303</v>
      </c>
      <c r="AJ37">
        <v>39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ROW(Source!A46)</f>
        <v>46</v>
      </c>
      <c r="B38">
        <v>44171319</v>
      </c>
      <c r="C38">
        <v>44171293</v>
      </c>
      <c r="D38">
        <v>35043897</v>
      </c>
      <c r="E38">
        <v>1</v>
      </c>
      <c r="F38">
        <v>1</v>
      </c>
      <c r="G38">
        <v>34959076</v>
      </c>
      <c r="H38">
        <v>3</v>
      </c>
      <c r="I38" t="s">
        <v>261</v>
      </c>
      <c r="J38" t="s">
        <v>262</v>
      </c>
      <c r="K38" t="s">
        <v>263</v>
      </c>
      <c r="L38">
        <v>1339</v>
      </c>
      <c r="N38">
        <v>1007</v>
      </c>
      <c r="O38" t="s">
        <v>43</v>
      </c>
      <c r="P38" t="s">
        <v>43</v>
      </c>
      <c r="Q38">
        <v>1</v>
      </c>
      <c r="X38">
        <v>3.15</v>
      </c>
      <c r="Y38">
        <v>7.07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6</v>
      </c>
      <c r="AG38">
        <v>3.15</v>
      </c>
      <c r="AH38">
        <v>2</v>
      </c>
      <c r="AI38">
        <v>44171304</v>
      </c>
      <c r="AJ38">
        <v>40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ROW(Source!A46)</f>
        <v>46</v>
      </c>
      <c r="B39">
        <v>44171320</v>
      </c>
      <c r="C39">
        <v>44171293</v>
      </c>
      <c r="D39">
        <v>35041443</v>
      </c>
      <c r="E39">
        <v>1</v>
      </c>
      <c r="F39">
        <v>1</v>
      </c>
      <c r="G39">
        <v>34959076</v>
      </c>
      <c r="H39">
        <v>3</v>
      </c>
      <c r="I39" t="s">
        <v>264</v>
      </c>
      <c r="J39" t="s">
        <v>265</v>
      </c>
      <c r="K39" t="s">
        <v>266</v>
      </c>
      <c r="L39">
        <v>1346</v>
      </c>
      <c r="N39">
        <v>1009</v>
      </c>
      <c r="O39" t="s">
        <v>73</v>
      </c>
      <c r="P39" t="s">
        <v>73</v>
      </c>
      <c r="Q39">
        <v>1</v>
      </c>
      <c r="X39">
        <v>4.6699999999999998E-2</v>
      </c>
      <c r="Y39">
        <v>7.48</v>
      </c>
      <c r="Z39">
        <v>0</v>
      </c>
      <c r="AA39">
        <v>0</v>
      </c>
      <c r="AB39">
        <v>0</v>
      </c>
      <c r="AC39">
        <v>0</v>
      </c>
      <c r="AD39">
        <v>1</v>
      </c>
      <c r="AE39">
        <v>0</v>
      </c>
      <c r="AF39" t="s">
        <v>6</v>
      </c>
      <c r="AG39">
        <v>4.6699999999999998E-2</v>
      </c>
      <c r="AH39">
        <v>2</v>
      </c>
      <c r="AI39">
        <v>44171305</v>
      </c>
      <c r="AJ39">
        <v>42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ROW(Source!A46)</f>
        <v>46</v>
      </c>
      <c r="B40">
        <v>44171321</v>
      </c>
      <c r="C40">
        <v>44171293</v>
      </c>
      <c r="D40">
        <v>38774482</v>
      </c>
      <c r="E40">
        <v>34959076</v>
      </c>
      <c r="F40">
        <v>1</v>
      </c>
      <c r="G40">
        <v>34959076</v>
      </c>
      <c r="H40">
        <v>3</v>
      </c>
      <c r="I40" t="s">
        <v>270</v>
      </c>
      <c r="J40" t="s">
        <v>6</v>
      </c>
      <c r="K40" t="s">
        <v>271</v>
      </c>
      <c r="L40">
        <v>1346</v>
      </c>
      <c r="N40">
        <v>1009</v>
      </c>
      <c r="O40" t="s">
        <v>73</v>
      </c>
      <c r="P40" t="s">
        <v>73</v>
      </c>
      <c r="Q40">
        <v>1</v>
      </c>
      <c r="X40">
        <v>179.2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 t="s">
        <v>6</v>
      </c>
      <c r="AG40">
        <v>179.2</v>
      </c>
      <c r="AH40">
        <v>3</v>
      </c>
      <c r="AI40">
        <v>-1</v>
      </c>
      <c r="AJ40" t="s">
        <v>6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ROW(Source!A46)</f>
        <v>46</v>
      </c>
      <c r="B41">
        <v>44171322</v>
      </c>
      <c r="C41">
        <v>44171293</v>
      </c>
      <c r="D41">
        <v>34985710</v>
      </c>
      <c r="E41">
        <v>34959076</v>
      </c>
      <c r="F41">
        <v>1</v>
      </c>
      <c r="G41">
        <v>34959076</v>
      </c>
      <c r="H41">
        <v>3</v>
      </c>
      <c r="I41" t="s">
        <v>272</v>
      </c>
      <c r="J41" t="s">
        <v>6</v>
      </c>
      <c r="K41" t="s">
        <v>273</v>
      </c>
      <c r="L41">
        <v>1301</v>
      </c>
      <c r="N41">
        <v>1003</v>
      </c>
      <c r="O41" t="s">
        <v>78</v>
      </c>
      <c r="P41" t="s">
        <v>78</v>
      </c>
      <c r="Q41">
        <v>1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 t="s">
        <v>6</v>
      </c>
      <c r="AG41">
        <v>0</v>
      </c>
      <c r="AH41">
        <v>3</v>
      </c>
      <c r="AI41">
        <v>-1</v>
      </c>
      <c r="AJ41" t="s">
        <v>6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ROW(Source!A46)</f>
        <v>46</v>
      </c>
      <c r="B42">
        <v>44171323</v>
      </c>
      <c r="C42">
        <v>44171293</v>
      </c>
      <c r="D42">
        <v>38774899</v>
      </c>
      <c r="E42">
        <v>34959076</v>
      </c>
      <c r="F42">
        <v>1</v>
      </c>
      <c r="G42">
        <v>34959076</v>
      </c>
      <c r="H42">
        <v>3</v>
      </c>
      <c r="I42" t="s">
        <v>274</v>
      </c>
      <c r="J42" t="s">
        <v>6</v>
      </c>
      <c r="K42" t="s">
        <v>275</v>
      </c>
      <c r="L42">
        <v>1296</v>
      </c>
      <c r="N42">
        <v>1002</v>
      </c>
      <c r="O42" t="s">
        <v>83</v>
      </c>
      <c r="P42" t="s">
        <v>83</v>
      </c>
      <c r="Q42">
        <v>1</v>
      </c>
      <c r="X42">
        <v>9.8176000000000005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 t="s">
        <v>6</v>
      </c>
      <c r="AG42">
        <v>9.8176000000000005</v>
      </c>
      <c r="AH42">
        <v>3</v>
      </c>
      <c r="AI42">
        <v>-1</v>
      </c>
      <c r="AJ42" t="s">
        <v>6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ROW(Source!A50)</f>
        <v>50</v>
      </c>
      <c r="B43">
        <v>44171329</v>
      </c>
      <c r="C43">
        <v>44171327</v>
      </c>
      <c r="D43">
        <v>35065183</v>
      </c>
      <c r="E43">
        <v>1</v>
      </c>
      <c r="F43">
        <v>1</v>
      </c>
      <c r="G43">
        <v>34959076</v>
      </c>
      <c r="H43">
        <v>2</v>
      </c>
      <c r="I43" t="s">
        <v>267</v>
      </c>
      <c r="J43" t="s">
        <v>268</v>
      </c>
      <c r="K43" t="s">
        <v>269</v>
      </c>
      <c r="L43">
        <v>1367</v>
      </c>
      <c r="N43">
        <v>1011</v>
      </c>
      <c r="O43" t="s">
        <v>232</v>
      </c>
      <c r="P43" t="s">
        <v>232</v>
      </c>
      <c r="Q43">
        <v>1</v>
      </c>
      <c r="X43">
        <v>1.82</v>
      </c>
      <c r="Y43">
        <v>0</v>
      </c>
      <c r="Z43">
        <v>14.12</v>
      </c>
      <c r="AA43">
        <v>0.32</v>
      </c>
      <c r="AB43">
        <v>0</v>
      </c>
      <c r="AC43">
        <v>0</v>
      </c>
      <c r="AD43">
        <v>1</v>
      </c>
      <c r="AE43">
        <v>0</v>
      </c>
      <c r="AF43" t="s">
        <v>6</v>
      </c>
      <c r="AG43">
        <v>1.82</v>
      </c>
      <c r="AH43">
        <v>2</v>
      </c>
      <c r="AI43">
        <v>44171328</v>
      </c>
      <c r="AJ43">
        <v>45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ROW(Source!A51)</f>
        <v>51</v>
      </c>
      <c r="B44">
        <v>44171333</v>
      </c>
      <c r="C44">
        <v>44171330</v>
      </c>
      <c r="D44">
        <v>34984826</v>
      </c>
      <c r="E44">
        <v>34959076</v>
      </c>
      <c r="F44">
        <v>1</v>
      </c>
      <c r="G44">
        <v>34959076</v>
      </c>
      <c r="H44">
        <v>1</v>
      </c>
      <c r="I44" t="s">
        <v>224</v>
      </c>
      <c r="J44" t="s">
        <v>6</v>
      </c>
      <c r="K44" t="s">
        <v>225</v>
      </c>
      <c r="L44">
        <v>1191</v>
      </c>
      <c r="N44">
        <v>1013</v>
      </c>
      <c r="O44" t="s">
        <v>226</v>
      </c>
      <c r="P44" t="s">
        <v>226</v>
      </c>
      <c r="Q44">
        <v>1</v>
      </c>
      <c r="X44">
        <v>0.26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1</v>
      </c>
      <c r="AF44" t="s">
        <v>6</v>
      </c>
      <c r="AG44">
        <v>0.26</v>
      </c>
      <c r="AH44">
        <v>2</v>
      </c>
      <c r="AI44">
        <v>44171331</v>
      </c>
      <c r="AJ44">
        <v>46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ROW(Source!A51)</f>
        <v>51</v>
      </c>
      <c r="B45">
        <v>44171334</v>
      </c>
      <c r="C45">
        <v>44171330</v>
      </c>
      <c r="D45">
        <v>38777804</v>
      </c>
      <c r="E45">
        <v>1</v>
      </c>
      <c r="F45">
        <v>1</v>
      </c>
      <c r="G45">
        <v>34959076</v>
      </c>
      <c r="H45">
        <v>2</v>
      </c>
      <c r="I45" t="s">
        <v>229</v>
      </c>
      <c r="J45" t="s">
        <v>230</v>
      </c>
      <c r="K45" t="s">
        <v>231</v>
      </c>
      <c r="L45">
        <v>1367</v>
      </c>
      <c r="N45">
        <v>1011</v>
      </c>
      <c r="O45" t="s">
        <v>232</v>
      </c>
      <c r="P45" t="s">
        <v>232</v>
      </c>
      <c r="Q45">
        <v>1</v>
      </c>
      <c r="X45">
        <v>0.26</v>
      </c>
      <c r="Y45">
        <v>0</v>
      </c>
      <c r="Z45">
        <v>1948.76</v>
      </c>
      <c r="AA45">
        <v>74.41</v>
      </c>
      <c r="AB45">
        <v>0</v>
      </c>
      <c r="AC45">
        <v>0</v>
      </c>
      <c r="AD45">
        <v>1</v>
      </c>
      <c r="AE45">
        <v>0</v>
      </c>
      <c r="AF45" t="s">
        <v>6</v>
      </c>
      <c r="AG45">
        <v>0.26</v>
      </c>
      <c r="AH45">
        <v>2</v>
      </c>
      <c r="AI45">
        <v>44171332</v>
      </c>
      <c r="AJ45">
        <v>47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ROW(Source!A53)</f>
        <v>53</v>
      </c>
      <c r="B46">
        <v>44171340</v>
      </c>
      <c r="C46">
        <v>44171336</v>
      </c>
      <c r="D46">
        <v>34984826</v>
      </c>
      <c r="E46">
        <v>34959076</v>
      </c>
      <c r="F46">
        <v>1</v>
      </c>
      <c r="G46">
        <v>34959076</v>
      </c>
      <c r="H46">
        <v>1</v>
      </c>
      <c r="I46" t="s">
        <v>224</v>
      </c>
      <c r="J46" t="s">
        <v>6</v>
      </c>
      <c r="K46" t="s">
        <v>225</v>
      </c>
      <c r="L46">
        <v>1191</v>
      </c>
      <c r="N46">
        <v>1013</v>
      </c>
      <c r="O46" t="s">
        <v>226</v>
      </c>
      <c r="P46" t="s">
        <v>226</v>
      </c>
      <c r="Q46">
        <v>1</v>
      </c>
      <c r="X46">
        <v>0.6</v>
      </c>
      <c r="Y46">
        <v>0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1</v>
      </c>
      <c r="AF46" t="s">
        <v>6</v>
      </c>
      <c r="AG46">
        <v>0.6</v>
      </c>
      <c r="AH46">
        <v>2</v>
      </c>
      <c r="AI46">
        <v>44171337</v>
      </c>
      <c r="AJ46">
        <v>48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ROW(Source!A53)</f>
        <v>53</v>
      </c>
      <c r="B47">
        <v>44171341</v>
      </c>
      <c r="C47">
        <v>44171336</v>
      </c>
      <c r="D47">
        <v>38777804</v>
      </c>
      <c r="E47">
        <v>1</v>
      </c>
      <c r="F47">
        <v>1</v>
      </c>
      <c r="G47">
        <v>34959076</v>
      </c>
      <c r="H47">
        <v>2</v>
      </c>
      <c r="I47" t="s">
        <v>229</v>
      </c>
      <c r="J47" t="s">
        <v>230</v>
      </c>
      <c r="K47" t="s">
        <v>231</v>
      </c>
      <c r="L47">
        <v>1367</v>
      </c>
      <c r="N47">
        <v>1011</v>
      </c>
      <c r="O47" t="s">
        <v>232</v>
      </c>
      <c r="P47" t="s">
        <v>232</v>
      </c>
      <c r="Q47">
        <v>1</v>
      </c>
      <c r="X47">
        <v>0.6</v>
      </c>
      <c r="Y47">
        <v>0</v>
      </c>
      <c r="Z47">
        <v>1948.76</v>
      </c>
      <c r="AA47">
        <v>74.41</v>
      </c>
      <c r="AB47">
        <v>0</v>
      </c>
      <c r="AC47">
        <v>0</v>
      </c>
      <c r="AD47">
        <v>1</v>
      </c>
      <c r="AE47">
        <v>0</v>
      </c>
      <c r="AF47" t="s">
        <v>6</v>
      </c>
      <c r="AG47">
        <v>0.6</v>
      </c>
      <c r="AH47">
        <v>2</v>
      </c>
      <c r="AI47">
        <v>44171338</v>
      </c>
      <c r="AJ47">
        <v>49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ROW(Source!A53)</f>
        <v>53</v>
      </c>
      <c r="B48">
        <v>44171342</v>
      </c>
      <c r="C48">
        <v>44171336</v>
      </c>
      <c r="D48">
        <v>35065040</v>
      </c>
      <c r="E48">
        <v>1</v>
      </c>
      <c r="F48">
        <v>1</v>
      </c>
      <c r="G48">
        <v>34959076</v>
      </c>
      <c r="H48">
        <v>2</v>
      </c>
      <c r="I48" t="s">
        <v>233</v>
      </c>
      <c r="J48" t="s">
        <v>234</v>
      </c>
      <c r="K48" t="s">
        <v>235</v>
      </c>
      <c r="L48">
        <v>1367</v>
      </c>
      <c r="N48">
        <v>1011</v>
      </c>
      <c r="O48" t="s">
        <v>232</v>
      </c>
      <c r="P48" t="s">
        <v>232</v>
      </c>
      <c r="Q48">
        <v>1</v>
      </c>
      <c r="X48">
        <v>0.57999999999999996</v>
      </c>
      <c r="Y48">
        <v>0</v>
      </c>
      <c r="Z48">
        <v>117.73</v>
      </c>
      <c r="AA48">
        <v>24.08</v>
      </c>
      <c r="AB48">
        <v>0</v>
      </c>
      <c r="AC48">
        <v>0</v>
      </c>
      <c r="AD48">
        <v>1</v>
      </c>
      <c r="AE48">
        <v>0</v>
      </c>
      <c r="AF48" t="s">
        <v>6</v>
      </c>
      <c r="AG48">
        <v>0.57999999999999996</v>
      </c>
      <c r="AH48">
        <v>2</v>
      </c>
      <c r="AI48">
        <v>44171339</v>
      </c>
      <c r="AJ48">
        <v>50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ROW(Source!A54)</f>
        <v>54</v>
      </c>
      <c r="B49">
        <v>44171359</v>
      </c>
      <c r="C49">
        <v>44171343</v>
      </c>
      <c r="D49">
        <v>34984826</v>
      </c>
      <c r="E49">
        <v>34959076</v>
      </c>
      <c r="F49">
        <v>1</v>
      </c>
      <c r="G49">
        <v>34959076</v>
      </c>
      <c r="H49">
        <v>1</v>
      </c>
      <c r="I49" t="s">
        <v>224</v>
      </c>
      <c r="J49" t="s">
        <v>6</v>
      </c>
      <c r="K49" t="s">
        <v>225</v>
      </c>
      <c r="L49">
        <v>1191</v>
      </c>
      <c r="N49">
        <v>1013</v>
      </c>
      <c r="O49" t="s">
        <v>226</v>
      </c>
      <c r="P49" t="s">
        <v>226</v>
      </c>
      <c r="Q49">
        <v>1</v>
      </c>
      <c r="X49">
        <v>2.2200000000000002</v>
      </c>
      <c r="Y49">
        <v>0</v>
      </c>
      <c r="Z49">
        <v>0</v>
      </c>
      <c r="AA49">
        <v>0</v>
      </c>
      <c r="AB49">
        <v>0</v>
      </c>
      <c r="AC49">
        <v>0</v>
      </c>
      <c r="AD49">
        <v>1</v>
      </c>
      <c r="AE49">
        <v>1</v>
      </c>
      <c r="AF49" t="s">
        <v>6</v>
      </c>
      <c r="AG49">
        <v>2.2200000000000002</v>
      </c>
      <c r="AH49">
        <v>2</v>
      </c>
      <c r="AI49">
        <v>44171344</v>
      </c>
      <c r="AJ49">
        <v>51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ROW(Source!A54)</f>
        <v>54</v>
      </c>
      <c r="B50">
        <v>44171360</v>
      </c>
      <c r="C50">
        <v>44171343</v>
      </c>
      <c r="D50">
        <v>35065139</v>
      </c>
      <c r="E50">
        <v>1</v>
      </c>
      <c r="F50">
        <v>1</v>
      </c>
      <c r="G50">
        <v>34959076</v>
      </c>
      <c r="H50">
        <v>2</v>
      </c>
      <c r="I50" t="s">
        <v>236</v>
      </c>
      <c r="J50" t="s">
        <v>237</v>
      </c>
      <c r="K50" t="s">
        <v>238</v>
      </c>
      <c r="L50">
        <v>1367</v>
      </c>
      <c r="N50">
        <v>1011</v>
      </c>
      <c r="O50" t="s">
        <v>232</v>
      </c>
      <c r="P50" t="s">
        <v>232</v>
      </c>
      <c r="Q50">
        <v>1</v>
      </c>
      <c r="X50">
        <v>0.21</v>
      </c>
      <c r="Y50">
        <v>0</v>
      </c>
      <c r="Z50">
        <v>50.27</v>
      </c>
      <c r="AA50">
        <v>15</v>
      </c>
      <c r="AB50">
        <v>0</v>
      </c>
      <c r="AC50">
        <v>0</v>
      </c>
      <c r="AD50">
        <v>1</v>
      </c>
      <c r="AE50">
        <v>0</v>
      </c>
      <c r="AF50" t="s">
        <v>6</v>
      </c>
      <c r="AG50">
        <v>0.21</v>
      </c>
      <c r="AH50">
        <v>2</v>
      </c>
      <c r="AI50">
        <v>44171345</v>
      </c>
      <c r="AJ50">
        <v>52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ROW(Source!A54)</f>
        <v>54</v>
      </c>
      <c r="B51">
        <v>44171361</v>
      </c>
      <c r="C51">
        <v>44171343</v>
      </c>
      <c r="D51">
        <v>38777804</v>
      </c>
      <c r="E51">
        <v>1</v>
      </c>
      <c r="F51">
        <v>1</v>
      </c>
      <c r="G51">
        <v>34959076</v>
      </c>
      <c r="H51">
        <v>2</v>
      </c>
      <c r="I51" t="s">
        <v>229</v>
      </c>
      <c r="J51" t="s">
        <v>230</v>
      </c>
      <c r="K51" t="s">
        <v>231</v>
      </c>
      <c r="L51">
        <v>1367</v>
      </c>
      <c r="N51">
        <v>1011</v>
      </c>
      <c r="O51" t="s">
        <v>232</v>
      </c>
      <c r="P51" t="s">
        <v>232</v>
      </c>
      <c r="Q51">
        <v>1</v>
      </c>
      <c r="X51">
        <v>0.92</v>
      </c>
      <c r="Y51">
        <v>0</v>
      </c>
      <c r="Z51">
        <v>1948.76</v>
      </c>
      <c r="AA51">
        <v>74.41</v>
      </c>
      <c r="AB51">
        <v>0</v>
      </c>
      <c r="AC51">
        <v>0</v>
      </c>
      <c r="AD51">
        <v>1</v>
      </c>
      <c r="AE51">
        <v>0</v>
      </c>
      <c r="AF51" t="s">
        <v>6</v>
      </c>
      <c r="AG51">
        <v>0.92</v>
      </c>
      <c r="AH51">
        <v>2</v>
      </c>
      <c r="AI51">
        <v>44171346</v>
      </c>
      <c r="AJ51">
        <v>53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ROW(Source!A54)</f>
        <v>54</v>
      </c>
      <c r="B52">
        <v>44171362</v>
      </c>
      <c r="C52">
        <v>44171343</v>
      </c>
      <c r="D52">
        <v>35065321</v>
      </c>
      <c r="E52">
        <v>1</v>
      </c>
      <c r="F52">
        <v>1</v>
      </c>
      <c r="G52">
        <v>34959076</v>
      </c>
      <c r="H52">
        <v>2</v>
      </c>
      <c r="I52" t="s">
        <v>239</v>
      </c>
      <c r="J52" t="s">
        <v>240</v>
      </c>
      <c r="K52" t="s">
        <v>241</v>
      </c>
      <c r="L52">
        <v>1367</v>
      </c>
      <c r="N52">
        <v>1011</v>
      </c>
      <c r="O52" t="s">
        <v>232</v>
      </c>
      <c r="P52" t="s">
        <v>232</v>
      </c>
      <c r="Q52">
        <v>1</v>
      </c>
      <c r="X52">
        <v>0.16</v>
      </c>
      <c r="Y52">
        <v>0</v>
      </c>
      <c r="Z52">
        <v>199.18</v>
      </c>
      <c r="AA52">
        <v>22.36</v>
      </c>
      <c r="AB52">
        <v>0</v>
      </c>
      <c r="AC52">
        <v>0</v>
      </c>
      <c r="AD52">
        <v>1</v>
      </c>
      <c r="AE52">
        <v>0</v>
      </c>
      <c r="AF52" t="s">
        <v>6</v>
      </c>
      <c r="AG52">
        <v>0.16</v>
      </c>
      <c r="AH52">
        <v>2</v>
      </c>
      <c r="AI52">
        <v>44171347</v>
      </c>
      <c r="AJ52">
        <v>54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ROW(Source!A54)</f>
        <v>54</v>
      </c>
      <c r="B53">
        <v>44171363</v>
      </c>
      <c r="C53">
        <v>44171343</v>
      </c>
      <c r="D53">
        <v>35065468</v>
      </c>
      <c r="E53">
        <v>1</v>
      </c>
      <c r="F53">
        <v>1</v>
      </c>
      <c r="G53">
        <v>34959076</v>
      </c>
      <c r="H53">
        <v>2</v>
      </c>
      <c r="I53" t="s">
        <v>242</v>
      </c>
      <c r="J53" t="s">
        <v>243</v>
      </c>
      <c r="K53" t="s">
        <v>244</v>
      </c>
      <c r="L53">
        <v>1367</v>
      </c>
      <c r="N53">
        <v>1011</v>
      </c>
      <c r="O53" t="s">
        <v>232</v>
      </c>
      <c r="P53" t="s">
        <v>232</v>
      </c>
      <c r="Q53">
        <v>1</v>
      </c>
      <c r="X53">
        <v>0.04</v>
      </c>
      <c r="Y53">
        <v>0</v>
      </c>
      <c r="Z53">
        <v>64.89</v>
      </c>
      <c r="AA53">
        <v>7.74</v>
      </c>
      <c r="AB53">
        <v>0</v>
      </c>
      <c r="AC53">
        <v>0</v>
      </c>
      <c r="AD53">
        <v>1</v>
      </c>
      <c r="AE53">
        <v>0</v>
      </c>
      <c r="AF53" t="s">
        <v>6</v>
      </c>
      <c r="AG53">
        <v>0.04</v>
      </c>
      <c r="AH53">
        <v>2</v>
      </c>
      <c r="AI53">
        <v>44171348</v>
      </c>
      <c r="AJ53">
        <v>55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ROW(Source!A54)</f>
        <v>54</v>
      </c>
      <c r="B54">
        <v>44171364</v>
      </c>
      <c r="C54">
        <v>44171343</v>
      </c>
      <c r="D54">
        <v>35064722</v>
      </c>
      <c r="E54">
        <v>1</v>
      </c>
      <c r="F54">
        <v>1</v>
      </c>
      <c r="G54">
        <v>34959076</v>
      </c>
      <c r="H54">
        <v>2</v>
      </c>
      <c r="I54" t="s">
        <v>245</v>
      </c>
      <c r="J54" t="s">
        <v>246</v>
      </c>
      <c r="K54" t="s">
        <v>247</v>
      </c>
      <c r="L54">
        <v>1367</v>
      </c>
      <c r="N54">
        <v>1011</v>
      </c>
      <c r="O54" t="s">
        <v>232</v>
      </c>
      <c r="P54" t="s">
        <v>232</v>
      </c>
      <c r="Q54">
        <v>1</v>
      </c>
      <c r="X54">
        <v>0.35</v>
      </c>
      <c r="Y54">
        <v>0</v>
      </c>
      <c r="Z54">
        <v>177.86</v>
      </c>
      <c r="AA54">
        <v>35.700000000000003</v>
      </c>
      <c r="AB54">
        <v>0</v>
      </c>
      <c r="AC54">
        <v>0</v>
      </c>
      <c r="AD54">
        <v>1</v>
      </c>
      <c r="AE54">
        <v>0</v>
      </c>
      <c r="AF54" t="s">
        <v>6</v>
      </c>
      <c r="AG54">
        <v>0.35</v>
      </c>
      <c r="AH54">
        <v>2</v>
      </c>
      <c r="AI54">
        <v>44171349</v>
      </c>
      <c r="AJ54">
        <v>56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ROW(Source!A54)</f>
        <v>54</v>
      </c>
      <c r="B55">
        <v>44171365</v>
      </c>
      <c r="C55">
        <v>44171343</v>
      </c>
      <c r="D55">
        <v>35064877</v>
      </c>
      <c r="E55">
        <v>1</v>
      </c>
      <c r="F55">
        <v>1</v>
      </c>
      <c r="G55">
        <v>34959076</v>
      </c>
      <c r="H55">
        <v>2</v>
      </c>
      <c r="I55" t="s">
        <v>248</v>
      </c>
      <c r="J55" t="s">
        <v>249</v>
      </c>
      <c r="K55" t="s">
        <v>250</v>
      </c>
      <c r="L55">
        <v>1367</v>
      </c>
      <c r="N55">
        <v>1011</v>
      </c>
      <c r="O55" t="s">
        <v>232</v>
      </c>
      <c r="P55" t="s">
        <v>232</v>
      </c>
      <c r="Q55">
        <v>1</v>
      </c>
      <c r="X55">
        <v>0.21</v>
      </c>
      <c r="Y55">
        <v>0</v>
      </c>
      <c r="Z55">
        <v>148.88999999999999</v>
      </c>
      <c r="AA55">
        <v>28.61</v>
      </c>
      <c r="AB55">
        <v>0</v>
      </c>
      <c r="AC55">
        <v>0</v>
      </c>
      <c r="AD55">
        <v>1</v>
      </c>
      <c r="AE55">
        <v>0</v>
      </c>
      <c r="AF55" t="s">
        <v>6</v>
      </c>
      <c r="AG55">
        <v>0.21</v>
      </c>
      <c r="AH55">
        <v>2</v>
      </c>
      <c r="AI55">
        <v>44171350</v>
      </c>
      <c r="AJ55">
        <v>57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ROW(Source!A54)</f>
        <v>54</v>
      </c>
      <c r="B56">
        <v>44171366</v>
      </c>
      <c r="C56">
        <v>44171343</v>
      </c>
      <c r="D56">
        <v>38777799</v>
      </c>
      <c r="E56">
        <v>1</v>
      </c>
      <c r="F56">
        <v>1</v>
      </c>
      <c r="G56">
        <v>34959076</v>
      </c>
      <c r="H56">
        <v>2</v>
      </c>
      <c r="I56" t="s">
        <v>251</v>
      </c>
      <c r="J56" t="s">
        <v>252</v>
      </c>
      <c r="K56" t="s">
        <v>253</v>
      </c>
      <c r="L56">
        <v>1367</v>
      </c>
      <c r="N56">
        <v>1011</v>
      </c>
      <c r="O56" t="s">
        <v>232</v>
      </c>
      <c r="P56" t="s">
        <v>232</v>
      </c>
      <c r="Q56">
        <v>1</v>
      </c>
      <c r="X56">
        <v>0.92</v>
      </c>
      <c r="Y56">
        <v>0</v>
      </c>
      <c r="Z56">
        <v>80.14</v>
      </c>
      <c r="AA56">
        <v>18.739999999999998</v>
      </c>
      <c r="AB56">
        <v>0</v>
      </c>
      <c r="AC56">
        <v>0</v>
      </c>
      <c r="AD56">
        <v>1</v>
      </c>
      <c r="AE56">
        <v>0</v>
      </c>
      <c r="AF56" t="s">
        <v>6</v>
      </c>
      <c r="AG56">
        <v>0.92</v>
      </c>
      <c r="AH56">
        <v>2</v>
      </c>
      <c r="AI56">
        <v>44171351</v>
      </c>
      <c r="AJ56">
        <v>58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ROW(Source!A54)</f>
        <v>54</v>
      </c>
      <c r="B57">
        <v>44171367</v>
      </c>
      <c r="C57">
        <v>44171343</v>
      </c>
      <c r="D57">
        <v>34984824</v>
      </c>
      <c r="E57">
        <v>34959076</v>
      </c>
      <c r="F57">
        <v>1</v>
      </c>
      <c r="G57">
        <v>34959076</v>
      </c>
      <c r="H57">
        <v>2</v>
      </c>
      <c r="I57" t="s">
        <v>254</v>
      </c>
      <c r="J57" t="s">
        <v>6</v>
      </c>
      <c r="K57" t="s">
        <v>255</v>
      </c>
      <c r="L57">
        <v>1344</v>
      </c>
      <c r="N57">
        <v>1008</v>
      </c>
      <c r="O57" t="s">
        <v>256</v>
      </c>
      <c r="P57" t="s">
        <v>256</v>
      </c>
      <c r="Q57">
        <v>1</v>
      </c>
      <c r="X57">
        <v>0.01</v>
      </c>
      <c r="Y57">
        <v>0</v>
      </c>
      <c r="Z57">
        <v>1</v>
      </c>
      <c r="AA57">
        <v>0</v>
      </c>
      <c r="AB57">
        <v>0</v>
      </c>
      <c r="AC57">
        <v>0</v>
      </c>
      <c r="AD57">
        <v>1</v>
      </c>
      <c r="AE57">
        <v>0</v>
      </c>
      <c r="AF57" t="s">
        <v>6</v>
      </c>
      <c r="AG57">
        <v>0.01</v>
      </c>
      <c r="AH57">
        <v>2</v>
      </c>
      <c r="AI57">
        <v>44171352</v>
      </c>
      <c r="AJ57">
        <v>59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ROW(Source!A54)</f>
        <v>54</v>
      </c>
      <c r="B58">
        <v>44171368</v>
      </c>
      <c r="C58">
        <v>44171343</v>
      </c>
      <c r="D58">
        <v>35043080</v>
      </c>
      <c r="E58">
        <v>1</v>
      </c>
      <c r="F58">
        <v>1</v>
      </c>
      <c r="G58">
        <v>34959076</v>
      </c>
      <c r="H58">
        <v>3</v>
      </c>
      <c r="I58" t="s">
        <v>257</v>
      </c>
      <c r="J58" t="s">
        <v>258</v>
      </c>
      <c r="K58" t="s">
        <v>259</v>
      </c>
      <c r="L58">
        <v>1348</v>
      </c>
      <c r="N58">
        <v>1009</v>
      </c>
      <c r="O58" t="s">
        <v>260</v>
      </c>
      <c r="P58" t="s">
        <v>260</v>
      </c>
      <c r="Q58">
        <v>1000</v>
      </c>
      <c r="X58">
        <v>2.3014699999999999E-3</v>
      </c>
      <c r="Y58">
        <v>5778.3</v>
      </c>
      <c r="Z58">
        <v>0</v>
      </c>
      <c r="AA58">
        <v>0</v>
      </c>
      <c r="AB58">
        <v>0</v>
      </c>
      <c r="AC58">
        <v>0</v>
      </c>
      <c r="AD58">
        <v>1</v>
      </c>
      <c r="AE58">
        <v>0</v>
      </c>
      <c r="AF58" t="s">
        <v>6</v>
      </c>
      <c r="AG58">
        <v>2.3014699999999999E-3</v>
      </c>
      <c r="AH58">
        <v>2</v>
      </c>
      <c r="AI58">
        <v>44171353</v>
      </c>
      <c r="AJ58">
        <v>60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ROW(Source!A54)</f>
        <v>54</v>
      </c>
      <c r="B59">
        <v>44171369</v>
      </c>
      <c r="C59">
        <v>44171343</v>
      </c>
      <c r="D59">
        <v>35043897</v>
      </c>
      <c r="E59">
        <v>1</v>
      </c>
      <c r="F59">
        <v>1</v>
      </c>
      <c r="G59">
        <v>34959076</v>
      </c>
      <c r="H59">
        <v>3</v>
      </c>
      <c r="I59" t="s">
        <v>261</v>
      </c>
      <c r="J59" t="s">
        <v>262</v>
      </c>
      <c r="K59" t="s">
        <v>263</v>
      </c>
      <c r="L59">
        <v>1339</v>
      </c>
      <c r="N59">
        <v>1007</v>
      </c>
      <c r="O59" t="s">
        <v>43</v>
      </c>
      <c r="P59" t="s">
        <v>43</v>
      </c>
      <c r="Q59">
        <v>1</v>
      </c>
      <c r="X59">
        <v>3.15</v>
      </c>
      <c r="Y59">
        <v>7.07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0</v>
      </c>
      <c r="AF59" t="s">
        <v>6</v>
      </c>
      <c r="AG59">
        <v>3.15</v>
      </c>
      <c r="AH59">
        <v>2</v>
      </c>
      <c r="AI59">
        <v>44171354</v>
      </c>
      <c r="AJ59">
        <v>61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ROW(Source!A54)</f>
        <v>54</v>
      </c>
      <c r="B60">
        <v>44171370</v>
      </c>
      <c r="C60">
        <v>44171343</v>
      </c>
      <c r="D60">
        <v>35041443</v>
      </c>
      <c r="E60">
        <v>1</v>
      </c>
      <c r="F60">
        <v>1</v>
      </c>
      <c r="G60">
        <v>34959076</v>
      </c>
      <c r="H60">
        <v>3</v>
      </c>
      <c r="I60" t="s">
        <v>264</v>
      </c>
      <c r="J60" t="s">
        <v>265</v>
      </c>
      <c r="K60" t="s">
        <v>266</v>
      </c>
      <c r="L60">
        <v>1346</v>
      </c>
      <c r="N60">
        <v>1009</v>
      </c>
      <c r="O60" t="s">
        <v>73</v>
      </c>
      <c r="P60" t="s">
        <v>73</v>
      </c>
      <c r="Q60">
        <v>1</v>
      </c>
      <c r="X60">
        <v>4.6699999999999998E-2</v>
      </c>
      <c r="Y60">
        <v>7.48</v>
      </c>
      <c r="Z60">
        <v>0</v>
      </c>
      <c r="AA60">
        <v>0</v>
      </c>
      <c r="AB60">
        <v>0</v>
      </c>
      <c r="AC60">
        <v>0</v>
      </c>
      <c r="AD60">
        <v>1</v>
      </c>
      <c r="AE60">
        <v>0</v>
      </c>
      <c r="AF60" t="s">
        <v>6</v>
      </c>
      <c r="AG60">
        <v>4.6699999999999998E-2</v>
      </c>
      <c r="AH60">
        <v>2</v>
      </c>
      <c r="AI60">
        <v>44171355</v>
      </c>
      <c r="AJ60">
        <v>63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ROW(Source!A54)</f>
        <v>54</v>
      </c>
      <c r="B61">
        <v>44171371</v>
      </c>
      <c r="C61">
        <v>44171343</v>
      </c>
      <c r="D61">
        <v>38774482</v>
      </c>
      <c r="E61">
        <v>34959076</v>
      </c>
      <c r="F61">
        <v>1</v>
      </c>
      <c r="G61">
        <v>34959076</v>
      </c>
      <c r="H61">
        <v>3</v>
      </c>
      <c r="I61" t="s">
        <v>270</v>
      </c>
      <c r="J61" t="s">
        <v>6</v>
      </c>
      <c r="K61" t="s">
        <v>271</v>
      </c>
      <c r="L61">
        <v>1346</v>
      </c>
      <c r="N61">
        <v>1009</v>
      </c>
      <c r="O61" t="s">
        <v>73</v>
      </c>
      <c r="P61" t="s">
        <v>73</v>
      </c>
      <c r="Q61">
        <v>1</v>
      </c>
      <c r="X61">
        <v>179.2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 t="s">
        <v>6</v>
      </c>
      <c r="AG61">
        <v>179.2</v>
      </c>
      <c r="AH61">
        <v>3</v>
      </c>
      <c r="AI61">
        <v>-1</v>
      </c>
      <c r="AJ61" t="s">
        <v>6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ROW(Source!A54)</f>
        <v>54</v>
      </c>
      <c r="B62">
        <v>44171372</v>
      </c>
      <c r="C62">
        <v>44171343</v>
      </c>
      <c r="D62">
        <v>34985710</v>
      </c>
      <c r="E62">
        <v>34959076</v>
      </c>
      <c r="F62">
        <v>1</v>
      </c>
      <c r="G62">
        <v>34959076</v>
      </c>
      <c r="H62">
        <v>3</v>
      </c>
      <c r="I62" t="s">
        <v>272</v>
      </c>
      <c r="J62" t="s">
        <v>6</v>
      </c>
      <c r="K62" t="s">
        <v>273</v>
      </c>
      <c r="L62">
        <v>1301</v>
      </c>
      <c r="N62">
        <v>1003</v>
      </c>
      <c r="O62" t="s">
        <v>78</v>
      </c>
      <c r="P62" t="s">
        <v>78</v>
      </c>
      <c r="Q62">
        <v>1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 t="s">
        <v>6</v>
      </c>
      <c r="AG62">
        <v>0</v>
      </c>
      <c r="AH62">
        <v>3</v>
      </c>
      <c r="AI62">
        <v>-1</v>
      </c>
      <c r="AJ62" t="s">
        <v>6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ROW(Source!A54)</f>
        <v>54</v>
      </c>
      <c r="B63">
        <v>44171373</v>
      </c>
      <c r="C63">
        <v>44171343</v>
      </c>
      <c r="D63">
        <v>38774899</v>
      </c>
      <c r="E63">
        <v>34959076</v>
      </c>
      <c r="F63">
        <v>1</v>
      </c>
      <c r="G63">
        <v>34959076</v>
      </c>
      <c r="H63">
        <v>3</v>
      </c>
      <c r="I63" t="s">
        <v>274</v>
      </c>
      <c r="J63" t="s">
        <v>6</v>
      </c>
      <c r="K63" t="s">
        <v>275</v>
      </c>
      <c r="L63">
        <v>1296</v>
      </c>
      <c r="N63">
        <v>1002</v>
      </c>
      <c r="O63" t="s">
        <v>83</v>
      </c>
      <c r="P63" t="s">
        <v>83</v>
      </c>
      <c r="Q63">
        <v>1</v>
      </c>
      <c r="X63">
        <v>9.8176000000000005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 t="s">
        <v>6</v>
      </c>
      <c r="AG63">
        <v>9.8176000000000005</v>
      </c>
      <c r="AH63">
        <v>3</v>
      </c>
      <c r="AI63">
        <v>-1</v>
      </c>
      <c r="AJ63" t="s">
        <v>6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ROW(Source!A58)</f>
        <v>58</v>
      </c>
      <c r="B64">
        <v>44171379</v>
      </c>
      <c r="C64">
        <v>44171377</v>
      </c>
      <c r="D64">
        <v>35065183</v>
      </c>
      <c r="E64">
        <v>1</v>
      </c>
      <c r="F64">
        <v>1</v>
      </c>
      <c r="G64">
        <v>34959076</v>
      </c>
      <c r="H64">
        <v>2</v>
      </c>
      <c r="I64" t="s">
        <v>267</v>
      </c>
      <c r="J64" t="s">
        <v>268</v>
      </c>
      <c r="K64" t="s">
        <v>269</v>
      </c>
      <c r="L64">
        <v>1367</v>
      </c>
      <c r="N64">
        <v>1011</v>
      </c>
      <c r="O64" t="s">
        <v>232</v>
      </c>
      <c r="P64" t="s">
        <v>232</v>
      </c>
      <c r="Q64">
        <v>1</v>
      </c>
      <c r="X64">
        <v>1.82</v>
      </c>
      <c r="Y64">
        <v>0</v>
      </c>
      <c r="Z64">
        <v>14.12</v>
      </c>
      <c r="AA64">
        <v>0.32</v>
      </c>
      <c r="AB64">
        <v>0</v>
      </c>
      <c r="AC64">
        <v>0</v>
      </c>
      <c r="AD64">
        <v>1</v>
      </c>
      <c r="AE64">
        <v>0</v>
      </c>
      <c r="AF64" t="s">
        <v>6</v>
      </c>
      <c r="AG64">
        <v>1.82</v>
      </c>
      <c r="AH64">
        <v>2</v>
      </c>
      <c r="AI64">
        <v>44171378</v>
      </c>
      <c r="AJ64">
        <v>66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ROW(Source!A59)</f>
        <v>59</v>
      </c>
      <c r="B65">
        <v>44171383</v>
      </c>
      <c r="C65">
        <v>44171380</v>
      </c>
      <c r="D65">
        <v>34984826</v>
      </c>
      <c r="E65">
        <v>34959076</v>
      </c>
      <c r="F65">
        <v>1</v>
      </c>
      <c r="G65">
        <v>34959076</v>
      </c>
      <c r="H65">
        <v>1</v>
      </c>
      <c r="I65" t="s">
        <v>224</v>
      </c>
      <c r="J65" t="s">
        <v>6</v>
      </c>
      <c r="K65" t="s">
        <v>225</v>
      </c>
      <c r="L65">
        <v>1191</v>
      </c>
      <c r="N65">
        <v>1013</v>
      </c>
      <c r="O65" t="s">
        <v>226</v>
      </c>
      <c r="P65" t="s">
        <v>226</v>
      </c>
      <c r="Q65">
        <v>1</v>
      </c>
      <c r="X65">
        <v>0.26</v>
      </c>
      <c r="Y65">
        <v>0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1</v>
      </c>
      <c r="AF65" t="s">
        <v>6</v>
      </c>
      <c r="AG65">
        <v>0.26</v>
      </c>
      <c r="AH65">
        <v>2</v>
      </c>
      <c r="AI65">
        <v>44171381</v>
      </c>
      <c r="AJ65">
        <v>67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ROW(Source!A59)</f>
        <v>59</v>
      </c>
      <c r="B66">
        <v>44171384</v>
      </c>
      <c r="C66">
        <v>44171380</v>
      </c>
      <c r="D66">
        <v>38777804</v>
      </c>
      <c r="E66">
        <v>1</v>
      </c>
      <c r="F66">
        <v>1</v>
      </c>
      <c r="G66">
        <v>34959076</v>
      </c>
      <c r="H66">
        <v>2</v>
      </c>
      <c r="I66" t="s">
        <v>229</v>
      </c>
      <c r="J66" t="s">
        <v>230</v>
      </c>
      <c r="K66" t="s">
        <v>231</v>
      </c>
      <c r="L66">
        <v>1367</v>
      </c>
      <c r="N66">
        <v>1011</v>
      </c>
      <c r="O66" t="s">
        <v>232</v>
      </c>
      <c r="P66" t="s">
        <v>232</v>
      </c>
      <c r="Q66">
        <v>1</v>
      </c>
      <c r="X66">
        <v>0.26</v>
      </c>
      <c r="Y66">
        <v>0</v>
      </c>
      <c r="Z66">
        <v>1948.76</v>
      </c>
      <c r="AA66">
        <v>74.41</v>
      </c>
      <c r="AB66">
        <v>0</v>
      </c>
      <c r="AC66">
        <v>0</v>
      </c>
      <c r="AD66">
        <v>1</v>
      </c>
      <c r="AE66">
        <v>0</v>
      </c>
      <c r="AF66" t="s">
        <v>6</v>
      </c>
      <c r="AG66">
        <v>0.26</v>
      </c>
      <c r="AH66">
        <v>2</v>
      </c>
      <c r="AI66">
        <v>44171382</v>
      </c>
      <c r="AJ66">
        <v>68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ROW(Source!A61)</f>
        <v>61</v>
      </c>
      <c r="B67">
        <v>44171390</v>
      </c>
      <c r="C67">
        <v>44171386</v>
      </c>
      <c r="D67">
        <v>34984826</v>
      </c>
      <c r="E67">
        <v>34959076</v>
      </c>
      <c r="F67">
        <v>1</v>
      </c>
      <c r="G67">
        <v>34959076</v>
      </c>
      <c r="H67">
        <v>1</v>
      </c>
      <c r="I67" t="s">
        <v>224</v>
      </c>
      <c r="J67" t="s">
        <v>6</v>
      </c>
      <c r="K67" t="s">
        <v>225</v>
      </c>
      <c r="L67">
        <v>1191</v>
      </c>
      <c r="N67">
        <v>1013</v>
      </c>
      <c r="O67" t="s">
        <v>226</v>
      </c>
      <c r="P67" t="s">
        <v>226</v>
      </c>
      <c r="Q67">
        <v>1</v>
      </c>
      <c r="X67">
        <v>0.6</v>
      </c>
      <c r="Y67">
        <v>0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1</v>
      </c>
      <c r="AF67" t="s">
        <v>6</v>
      </c>
      <c r="AG67">
        <v>0.6</v>
      </c>
      <c r="AH67">
        <v>2</v>
      </c>
      <c r="AI67">
        <v>44171387</v>
      </c>
      <c r="AJ67">
        <v>69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ROW(Source!A61)</f>
        <v>61</v>
      </c>
      <c r="B68">
        <v>44171391</v>
      </c>
      <c r="C68">
        <v>44171386</v>
      </c>
      <c r="D68">
        <v>38777804</v>
      </c>
      <c r="E68">
        <v>1</v>
      </c>
      <c r="F68">
        <v>1</v>
      </c>
      <c r="G68">
        <v>34959076</v>
      </c>
      <c r="H68">
        <v>2</v>
      </c>
      <c r="I68" t="s">
        <v>229</v>
      </c>
      <c r="J68" t="s">
        <v>230</v>
      </c>
      <c r="K68" t="s">
        <v>231</v>
      </c>
      <c r="L68">
        <v>1367</v>
      </c>
      <c r="N68">
        <v>1011</v>
      </c>
      <c r="O68" t="s">
        <v>232</v>
      </c>
      <c r="P68" t="s">
        <v>232</v>
      </c>
      <c r="Q68">
        <v>1</v>
      </c>
      <c r="X68">
        <v>0.6</v>
      </c>
      <c r="Y68">
        <v>0</v>
      </c>
      <c r="Z68">
        <v>1948.76</v>
      </c>
      <c r="AA68">
        <v>74.41</v>
      </c>
      <c r="AB68">
        <v>0</v>
      </c>
      <c r="AC68">
        <v>0</v>
      </c>
      <c r="AD68">
        <v>1</v>
      </c>
      <c r="AE68">
        <v>0</v>
      </c>
      <c r="AF68" t="s">
        <v>6</v>
      </c>
      <c r="AG68">
        <v>0.6</v>
      </c>
      <c r="AH68">
        <v>2</v>
      </c>
      <c r="AI68">
        <v>44171388</v>
      </c>
      <c r="AJ68">
        <v>70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ROW(Source!A61)</f>
        <v>61</v>
      </c>
      <c r="B69">
        <v>44171392</v>
      </c>
      <c r="C69">
        <v>44171386</v>
      </c>
      <c r="D69">
        <v>35065040</v>
      </c>
      <c r="E69">
        <v>1</v>
      </c>
      <c r="F69">
        <v>1</v>
      </c>
      <c r="G69">
        <v>34959076</v>
      </c>
      <c r="H69">
        <v>2</v>
      </c>
      <c r="I69" t="s">
        <v>233</v>
      </c>
      <c r="J69" t="s">
        <v>234</v>
      </c>
      <c r="K69" t="s">
        <v>235</v>
      </c>
      <c r="L69">
        <v>1367</v>
      </c>
      <c r="N69">
        <v>1011</v>
      </c>
      <c r="O69" t="s">
        <v>232</v>
      </c>
      <c r="P69" t="s">
        <v>232</v>
      </c>
      <c r="Q69">
        <v>1</v>
      </c>
      <c r="X69">
        <v>0.57999999999999996</v>
      </c>
      <c r="Y69">
        <v>0</v>
      </c>
      <c r="Z69">
        <v>117.73</v>
      </c>
      <c r="AA69">
        <v>24.08</v>
      </c>
      <c r="AB69">
        <v>0</v>
      </c>
      <c r="AC69">
        <v>0</v>
      </c>
      <c r="AD69">
        <v>1</v>
      </c>
      <c r="AE69">
        <v>0</v>
      </c>
      <c r="AF69" t="s">
        <v>6</v>
      </c>
      <c r="AG69">
        <v>0.57999999999999996</v>
      </c>
      <c r="AH69">
        <v>2</v>
      </c>
      <c r="AI69">
        <v>44171389</v>
      </c>
      <c r="AJ69">
        <v>71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ROW(Source!A62)</f>
        <v>62</v>
      </c>
      <c r="B70">
        <v>44171409</v>
      </c>
      <c r="C70">
        <v>44171393</v>
      </c>
      <c r="D70">
        <v>34984826</v>
      </c>
      <c r="E70">
        <v>34959076</v>
      </c>
      <c r="F70">
        <v>1</v>
      </c>
      <c r="G70">
        <v>34959076</v>
      </c>
      <c r="H70">
        <v>1</v>
      </c>
      <c r="I70" t="s">
        <v>224</v>
      </c>
      <c r="J70" t="s">
        <v>6</v>
      </c>
      <c r="K70" t="s">
        <v>225</v>
      </c>
      <c r="L70">
        <v>1191</v>
      </c>
      <c r="N70">
        <v>1013</v>
      </c>
      <c r="O70" t="s">
        <v>226</v>
      </c>
      <c r="P70" t="s">
        <v>226</v>
      </c>
      <c r="Q70">
        <v>1</v>
      </c>
      <c r="X70">
        <v>2.2200000000000002</v>
      </c>
      <c r="Y70">
        <v>0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1</v>
      </c>
      <c r="AF70" t="s">
        <v>6</v>
      </c>
      <c r="AG70">
        <v>2.2200000000000002</v>
      </c>
      <c r="AH70">
        <v>2</v>
      </c>
      <c r="AI70">
        <v>44171394</v>
      </c>
      <c r="AJ70">
        <v>72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ROW(Source!A62)</f>
        <v>62</v>
      </c>
      <c r="B71">
        <v>44171410</v>
      </c>
      <c r="C71">
        <v>44171393</v>
      </c>
      <c r="D71">
        <v>35065139</v>
      </c>
      <c r="E71">
        <v>1</v>
      </c>
      <c r="F71">
        <v>1</v>
      </c>
      <c r="G71">
        <v>34959076</v>
      </c>
      <c r="H71">
        <v>2</v>
      </c>
      <c r="I71" t="s">
        <v>236</v>
      </c>
      <c r="J71" t="s">
        <v>237</v>
      </c>
      <c r="K71" t="s">
        <v>238</v>
      </c>
      <c r="L71">
        <v>1367</v>
      </c>
      <c r="N71">
        <v>1011</v>
      </c>
      <c r="O71" t="s">
        <v>232</v>
      </c>
      <c r="P71" t="s">
        <v>232</v>
      </c>
      <c r="Q71">
        <v>1</v>
      </c>
      <c r="X71">
        <v>0.21</v>
      </c>
      <c r="Y71">
        <v>0</v>
      </c>
      <c r="Z71">
        <v>50.27</v>
      </c>
      <c r="AA71">
        <v>15</v>
      </c>
      <c r="AB71">
        <v>0</v>
      </c>
      <c r="AC71">
        <v>0</v>
      </c>
      <c r="AD71">
        <v>1</v>
      </c>
      <c r="AE71">
        <v>0</v>
      </c>
      <c r="AF71" t="s">
        <v>6</v>
      </c>
      <c r="AG71">
        <v>0.21</v>
      </c>
      <c r="AH71">
        <v>2</v>
      </c>
      <c r="AI71">
        <v>44171395</v>
      </c>
      <c r="AJ71">
        <v>73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ROW(Source!A62)</f>
        <v>62</v>
      </c>
      <c r="B72">
        <v>44171411</v>
      </c>
      <c r="C72">
        <v>44171393</v>
      </c>
      <c r="D72">
        <v>38777804</v>
      </c>
      <c r="E72">
        <v>1</v>
      </c>
      <c r="F72">
        <v>1</v>
      </c>
      <c r="G72">
        <v>34959076</v>
      </c>
      <c r="H72">
        <v>2</v>
      </c>
      <c r="I72" t="s">
        <v>229</v>
      </c>
      <c r="J72" t="s">
        <v>230</v>
      </c>
      <c r="K72" t="s">
        <v>231</v>
      </c>
      <c r="L72">
        <v>1367</v>
      </c>
      <c r="N72">
        <v>1011</v>
      </c>
      <c r="O72" t="s">
        <v>232</v>
      </c>
      <c r="P72" t="s">
        <v>232</v>
      </c>
      <c r="Q72">
        <v>1</v>
      </c>
      <c r="X72">
        <v>0.92</v>
      </c>
      <c r="Y72">
        <v>0</v>
      </c>
      <c r="Z72">
        <v>1948.76</v>
      </c>
      <c r="AA72">
        <v>74.41</v>
      </c>
      <c r="AB72">
        <v>0</v>
      </c>
      <c r="AC72">
        <v>0</v>
      </c>
      <c r="AD72">
        <v>1</v>
      </c>
      <c r="AE72">
        <v>0</v>
      </c>
      <c r="AF72" t="s">
        <v>6</v>
      </c>
      <c r="AG72">
        <v>0.92</v>
      </c>
      <c r="AH72">
        <v>2</v>
      </c>
      <c r="AI72">
        <v>44171396</v>
      </c>
      <c r="AJ72">
        <v>74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ROW(Source!A62)</f>
        <v>62</v>
      </c>
      <c r="B73">
        <v>44171412</v>
      </c>
      <c r="C73">
        <v>44171393</v>
      </c>
      <c r="D73">
        <v>35065321</v>
      </c>
      <c r="E73">
        <v>1</v>
      </c>
      <c r="F73">
        <v>1</v>
      </c>
      <c r="G73">
        <v>34959076</v>
      </c>
      <c r="H73">
        <v>2</v>
      </c>
      <c r="I73" t="s">
        <v>239</v>
      </c>
      <c r="J73" t="s">
        <v>240</v>
      </c>
      <c r="K73" t="s">
        <v>241</v>
      </c>
      <c r="L73">
        <v>1367</v>
      </c>
      <c r="N73">
        <v>1011</v>
      </c>
      <c r="O73" t="s">
        <v>232</v>
      </c>
      <c r="P73" t="s">
        <v>232</v>
      </c>
      <c r="Q73">
        <v>1</v>
      </c>
      <c r="X73">
        <v>0.16</v>
      </c>
      <c r="Y73">
        <v>0</v>
      </c>
      <c r="Z73">
        <v>199.18</v>
      </c>
      <c r="AA73">
        <v>22.36</v>
      </c>
      <c r="AB73">
        <v>0</v>
      </c>
      <c r="AC73">
        <v>0</v>
      </c>
      <c r="AD73">
        <v>1</v>
      </c>
      <c r="AE73">
        <v>0</v>
      </c>
      <c r="AF73" t="s">
        <v>6</v>
      </c>
      <c r="AG73">
        <v>0.16</v>
      </c>
      <c r="AH73">
        <v>2</v>
      </c>
      <c r="AI73">
        <v>44171397</v>
      </c>
      <c r="AJ73">
        <v>75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ROW(Source!A62)</f>
        <v>62</v>
      </c>
      <c r="B74">
        <v>44171413</v>
      </c>
      <c r="C74">
        <v>44171393</v>
      </c>
      <c r="D74">
        <v>35065468</v>
      </c>
      <c r="E74">
        <v>1</v>
      </c>
      <c r="F74">
        <v>1</v>
      </c>
      <c r="G74">
        <v>34959076</v>
      </c>
      <c r="H74">
        <v>2</v>
      </c>
      <c r="I74" t="s">
        <v>242</v>
      </c>
      <c r="J74" t="s">
        <v>243</v>
      </c>
      <c r="K74" t="s">
        <v>244</v>
      </c>
      <c r="L74">
        <v>1367</v>
      </c>
      <c r="N74">
        <v>1011</v>
      </c>
      <c r="O74" t="s">
        <v>232</v>
      </c>
      <c r="P74" t="s">
        <v>232</v>
      </c>
      <c r="Q74">
        <v>1</v>
      </c>
      <c r="X74">
        <v>0.04</v>
      </c>
      <c r="Y74">
        <v>0</v>
      </c>
      <c r="Z74">
        <v>64.89</v>
      </c>
      <c r="AA74">
        <v>7.74</v>
      </c>
      <c r="AB74">
        <v>0</v>
      </c>
      <c r="AC74">
        <v>0</v>
      </c>
      <c r="AD74">
        <v>1</v>
      </c>
      <c r="AE74">
        <v>0</v>
      </c>
      <c r="AF74" t="s">
        <v>6</v>
      </c>
      <c r="AG74">
        <v>0.04</v>
      </c>
      <c r="AH74">
        <v>2</v>
      </c>
      <c r="AI74">
        <v>44171398</v>
      </c>
      <c r="AJ74">
        <v>76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ROW(Source!A62)</f>
        <v>62</v>
      </c>
      <c r="B75">
        <v>44171414</v>
      </c>
      <c r="C75">
        <v>44171393</v>
      </c>
      <c r="D75">
        <v>35064722</v>
      </c>
      <c r="E75">
        <v>1</v>
      </c>
      <c r="F75">
        <v>1</v>
      </c>
      <c r="G75">
        <v>34959076</v>
      </c>
      <c r="H75">
        <v>2</v>
      </c>
      <c r="I75" t="s">
        <v>245</v>
      </c>
      <c r="J75" t="s">
        <v>246</v>
      </c>
      <c r="K75" t="s">
        <v>247</v>
      </c>
      <c r="L75">
        <v>1367</v>
      </c>
      <c r="N75">
        <v>1011</v>
      </c>
      <c r="O75" t="s">
        <v>232</v>
      </c>
      <c r="P75" t="s">
        <v>232</v>
      </c>
      <c r="Q75">
        <v>1</v>
      </c>
      <c r="X75">
        <v>0.35</v>
      </c>
      <c r="Y75">
        <v>0</v>
      </c>
      <c r="Z75">
        <v>177.86</v>
      </c>
      <c r="AA75">
        <v>35.700000000000003</v>
      </c>
      <c r="AB75">
        <v>0</v>
      </c>
      <c r="AC75">
        <v>0</v>
      </c>
      <c r="AD75">
        <v>1</v>
      </c>
      <c r="AE75">
        <v>0</v>
      </c>
      <c r="AF75" t="s">
        <v>6</v>
      </c>
      <c r="AG75">
        <v>0.35</v>
      </c>
      <c r="AH75">
        <v>2</v>
      </c>
      <c r="AI75">
        <v>44171399</v>
      </c>
      <c r="AJ75">
        <v>77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ROW(Source!A62)</f>
        <v>62</v>
      </c>
      <c r="B76">
        <v>44171415</v>
      </c>
      <c r="C76">
        <v>44171393</v>
      </c>
      <c r="D76">
        <v>35064877</v>
      </c>
      <c r="E76">
        <v>1</v>
      </c>
      <c r="F76">
        <v>1</v>
      </c>
      <c r="G76">
        <v>34959076</v>
      </c>
      <c r="H76">
        <v>2</v>
      </c>
      <c r="I76" t="s">
        <v>248</v>
      </c>
      <c r="J76" t="s">
        <v>249</v>
      </c>
      <c r="K76" t="s">
        <v>250</v>
      </c>
      <c r="L76">
        <v>1367</v>
      </c>
      <c r="N76">
        <v>1011</v>
      </c>
      <c r="O76" t="s">
        <v>232</v>
      </c>
      <c r="P76" t="s">
        <v>232</v>
      </c>
      <c r="Q76">
        <v>1</v>
      </c>
      <c r="X76">
        <v>0.21</v>
      </c>
      <c r="Y76">
        <v>0</v>
      </c>
      <c r="Z76">
        <v>148.88999999999999</v>
      </c>
      <c r="AA76">
        <v>28.61</v>
      </c>
      <c r="AB76">
        <v>0</v>
      </c>
      <c r="AC76">
        <v>0</v>
      </c>
      <c r="AD76">
        <v>1</v>
      </c>
      <c r="AE76">
        <v>0</v>
      </c>
      <c r="AF76" t="s">
        <v>6</v>
      </c>
      <c r="AG76">
        <v>0.21</v>
      </c>
      <c r="AH76">
        <v>2</v>
      </c>
      <c r="AI76">
        <v>44171400</v>
      </c>
      <c r="AJ76">
        <v>78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ROW(Source!A62)</f>
        <v>62</v>
      </c>
      <c r="B77">
        <v>44171416</v>
      </c>
      <c r="C77">
        <v>44171393</v>
      </c>
      <c r="D77">
        <v>38777799</v>
      </c>
      <c r="E77">
        <v>1</v>
      </c>
      <c r="F77">
        <v>1</v>
      </c>
      <c r="G77">
        <v>34959076</v>
      </c>
      <c r="H77">
        <v>2</v>
      </c>
      <c r="I77" t="s">
        <v>251</v>
      </c>
      <c r="J77" t="s">
        <v>252</v>
      </c>
      <c r="K77" t="s">
        <v>253</v>
      </c>
      <c r="L77">
        <v>1367</v>
      </c>
      <c r="N77">
        <v>1011</v>
      </c>
      <c r="O77" t="s">
        <v>232</v>
      </c>
      <c r="P77" t="s">
        <v>232</v>
      </c>
      <c r="Q77">
        <v>1</v>
      </c>
      <c r="X77">
        <v>0.92</v>
      </c>
      <c r="Y77">
        <v>0</v>
      </c>
      <c r="Z77">
        <v>80.14</v>
      </c>
      <c r="AA77">
        <v>18.739999999999998</v>
      </c>
      <c r="AB77">
        <v>0</v>
      </c>
      <c r="AC77">
        <v>0</v>
      </c>
      <c r="AD77">
        <v>1</v>
      </c>
      <c r="AE77">
        <v>0</v>
      </c>
      <c r="AF77" t="s">
        <v>6</v>
      </c>
      <c r="AG77">
        <v>0.92</v>
      </c>
      <c r="AH77">
        <v>2</v>
      </c>
      <c r="AI77">
        <v>44171401</v>
      </c>
      <c r="AJ77">
        <v>79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ROW(Source!A62)</f>
        <v>62</v>
      </c>
      <c r="B78">
        <v>44171417</v>
      </c>
      <c r="C78">
        <v>44171393</v>
      </c>
      <c r="D78">
        <v>34984824</v>
      </c>
      <c r="E78">
        <v>34959076</v>
      </c>
      <c r="F78">
        <v>1</v>
      </c>
      <c r="G78">
        <v>34959076</v>
      </c>
      <c r="H78">
        <v>2</v>
      </c>
      <c r="I78" t="s">
        <v>254</v>
      </c>
      <c r="J78" t="s">
        <v>6</v>
      </c>
      <c r="K78" t="s">
        <v>255</v>
      </c>
      <c r="L78">
        <v>1344</v>
      </c>
      <c r="N78">
        <v>1008</v>
      </c>
      <c r="O78" t="s">
        <v>256</v>
      </c>
      <c r="P78" t="s">
        <v>256</v>
      </c>
      <c r="Q78">
        <v>1</v>
      </c>
      <c r="X78">
        <v>0.01</v>
      </c>
      <c r="Y78">
        <v>0</v>
      </c>
      <c r="Z78">
        <v>1</v>
      </c>
      <c r="AA78">
        <v>0</v>
      </c>
      <c r="AB78">
        <v>0</v>
      </c>
      <c r="AC78">
        <v>0</v>
      </c>
      <c r="AD78">
        <v>1</v>
      </c>
      <c r="AE78">
        <v>0</v>
      </c>
      <c r="AF78" t="s">
        <v>6</v>
      </c>
      <c r="AG78">
        <v>0.01</v>
      </c>
      <c r="AH78">
        <v>2</v>
      </c>
      <c r="AI78">
        <v>44171402</v>
      </c>
      <c r="AJ78">
        <v>80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ROW(Source!A62)</f>
        <v>62</v>
      </c>
      <c r="B79">
        <v>44171418</v>
      </c>
      <c r="C79">
        <v>44171393</v>
      </c>
      <c r="D79">
        <v>35043080</v>
      </c>
      <c r="E79">
        <v>1</v>
      </c>
      <c r="F79">
        <v>1</v>
      </c>
      <c r="G79">
        <v>34959076</v>
      </c>
      <c r="H79">
        <v>3</v>
      </c>
      <c r="I79" t="s">
        <v>257</v>
      </c>
      <c r="J79" t="s">
        <v>258</v>
      </c>
      <c r="K79" t="s">
        <v>259</v>
      </c>
      <c r="L79">
        <v>1348</v>
      </c>
      <c r="N79">
        <v>1009</v>
      </c>
      <c r="O79" t="s">
        <v>260</v>
      </c>
      <c r="P79" t="s">
        <v>260</v>
      </c>
      <c r="Q79">
        <v>1000</v>
      </c>
      <c r="X79">
        <v>2.3014699999999999E-3</v>
      </c>
      <c r="Y79">
        <v>5778.3</v>
      </c>
      <c r="Z79">
        <v>0</v>
      </c>
      <c r="AA79">
        <v>0</v>
      </c>
      <c r="AB79">
        <v>0</v>
      </c>
      <c r="AC79">
        <v>0</v>
      </c>
      <c r="AD79">
        <v>1</v>
      </c>
      <c r="AE79">
        <v>0</v>
      </c>
      <c r="AF79" t="s">
        <v>6</v>
      </c>
      <c r="AG79">
        <v>2.3014699999999999E-3</v>
      </c>
      <c r="AH79">
        <v>2</v>
      </c>
      <c r="AI79">
        <v>44171403</v>
      </c>
      <c r="AJ79">
        <v>81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ROW(Source!A62)</f>
        <v>62</v>
      </c>
      <c r="B80">
        <v>44171419</v>
      </c>
      <c r="C80">
        <v>44171393</v>
      </c>
      <c r="D80">
        <v>35043897</v>
      </c>
      <c r="E80">
        <v>1</v>
      </c>
      <c r="F80">
        <v>1</v>
      </c>
      <c r="G80">
        <v>34959076</v>
      </c>
      <c r="H80">
        <v>3</v>
      </c>
      <c r="I80" t="s">
        <v>261</v>
      </c>
      <c r="J80" t="s">
        <v>262</v>
      </c>
      <c r="K80" t="s">
        <v>263</v>
      </c>
      <c r="L80">
        <v>1339</v>
      </c>
      <c r="N80">
        <v>1007</v>
      </c>
      <c r="O80" t="s">
        <v>43</v>
      </c>
      <c r="P80" t="s">
        <v>43</v>
      </c>
      <c r="Q80">
        <v>1</v>
      </c>
      <c r="X80">
        <v>3.15</v>
      </c>
      <c r="Y80">
        <v>7.07</v>
      </c>
      <c r="Z80">
        <v>0</v>
      </c>
      <c r="AA80">
        <v>0</v>
      </c>
      <c r="AB80">
        <v>0</v>
      </c>
      <c r="AC80">
        <v>0</v>
      </c>
      <c r="AD80">
        <v>1</v>
      </c>
      <c r="AE80">
        <v>0</v>
      </c>
      <c r="AF80" t="s">
        <v>6</v>
      </c>
      <c r="AG80">
        <v>3.15</v>
      </c>
      <c r="AH80">
        <v>2</v>
      </c>
      <c r="AI80">
        <v>44171404</v>
      </c>
      <c r="AJ80">
        <v>82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ROW(Source!A62)</f>
        <v>62</v>
      </c>
      <c r="B81">
        <v>44171420</v>
      </c>
      <c r="C81">
        <v>44171393</v>
      </c>
      <c r="D81">
        <v>35041443</v>
      </c>
      <c r="E81">
        <v>1</v>
      </c>
      <c r="F81">
        <v>1</v>
      </c>
      <c r="G81">
        <v>34959076</v>
      </c>
      <c r="H81">
        <v>3</v>
      </c>
      <c r="I81" t="s">
        <v>264</v>
      </c>
      <c r="J81" t="s">
        <v>265</v>
      </c>
      <c r="K81" t="s">
        <v>266</v>
      </c>
      <c r="L81">
        <v>1346</v>
      </c>
      <c r="N81">
        <v>1009</v>
      </c>
      <c r="O81" t="s">
        <v>73</v>
      </c>
      <c r="P81" t="s">
        <v>73</v>
      </c>
      <c r="Q81">
        <v>1</v>
      </c>
      <c r="X81">
        <v>4.6699999999999998E-2</v>
      </c>
      <c r="Y81">
        <v>7.48</v>
      </c>
      <c r="Z81">
        <v>0</v>
      </c>
      <c r="AA81">
        <v>0</v>
      </c>
      <c r="AB81">
        <v>0</v>
      </c>
      <c r="AC81">
        <v>0</v>
      </c>
      <c r="AD81">
        <v>1</v>
      </c>
      <c r="AE81">
        <v>0</v>
      </c>
      <c r="AF81" t="s">
        <v>6</v>
      </c>
      <c r="AG81">
        <v>4.6699999999999998E-2</v>
      </c>
      <c r="AH81">
        <v>2</v>
      </c>
      <c r="AI81">
        <v>44171406</v>
      </c>
      <c r="AJ81">
        <v>84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ROW(Source!A62)</f>
        <v>62</v>
      </c>
      <c r="B82">
        <v>44171421</v>
      </c>
      <c r="C82">
        <v>44171393</v>
      </c>
      <c r="D82">
        <v>38774482</v>
      </c>
      <c r="E82">
        <v>34959076</v>
      </c>
      <c r="F82">
        <v>1</v>
      </c>
      <c r="G82">
        <v>34959076</v>
      </c>
      <c r="H82">
        <v>3</v>
      </c>
      <c r="I82" t="s">
        <v>270</v>
      </c>
      <c r="J82" t="s">
        <v>6</v>
      </c>
      <c r="K82" t="s">
        <v>271</v>
      </c>
      <c r="L82">
        <v>1346</v>
      </c>
      <c r="N82">
        <v>1009</v>
      </c>
      <c r="O82" t="s">
        <v>73</v>
      </c>
      <c r="P82" t="s">
        <v>73</v>
      </c>
      <c r="Q82">
        <v>1</v>
      </c>
      <c r="X82">
        <v>179.2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 t="s">
        <v>6</v>
      </c>
      <c r="AG82">
        <v>179.2</v>
      </c>
      <c r="AH82">
        <v>3</v>
      </c>
      <c r="AI82">
        <v>-1</v>
      </c>
      <c r="AJ82" t="s">
        <v>6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ROW(Source!A62)</f>
        <v>62</v>
      </c>
      <c r="B83">
        <v>44171422</v>
      </c>
      <c r="C83">
        <v>44171393</v>
      </c>
      <c r="D83">
        <v>34985710</v>
      </c>
      <c r="E83">
        <v>34959076</v>
      </c>
      <c r="F83">
        <v>1</v>
      </c>
      <c r="G83">
        <v>34959076</v>
      </c>
      <c r="H83">
        <v>3</v>
      </c>
      <c r="I83" t="s">
        <v>272</v>
      </c>
      <c r="J83" t="s">
        <v>6</v>
      </c>
      <c r="K83" t="s">
        <v>273</v>
      </c>
      <c r="L83">
        <v>1301</v>
      </c>
      <c r="N83">
        <v>1003</v>
      </c>
      <c r="O83" t="s">
        <v>78</v>
      </c>
      <c r="P83" t="s">
        <v>78</v>
      </c>
      <c r="Q83">
        <v>1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 t="s">
        <v>6</v>
      </c>
      <c r="AG83">
        <v>0</v>
      </c>
      <c r="AH83">
        <v>3</v>
      </c>
      <c r="AI83">
        <v>-1</v>
      </c>
      <c r="AJ83" t="s">
        <v>6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ROW(Source!A62)</f>
        <v>62</v>
      </c>
      <c r="B84">
        <v>44171423</v>
      </c>
      <c r="C84">
        <v>44171393</v>
      </c>
      <c r="D84">
        <v>38774899</v>
      </c>
      <c r="E84">
        <v>34959076</v>
      </c>
      <c r="F84">
        <v>1</v>
      </c>
      <c r="G84">
        <v>34959076</v>
      </c>
      <c r="H84">
        <v>3</v>
      </c>
      <c r="I84" t="s">
        <v>274</v>
      </c>
      <c r="J84" t="s">
        <v>6</v>
      </c>
      <c r="K84" t="s">
        <v>275</v>
      </c>
      <c r="L84">
        <v>1296</v>
      </c>
      <c r="N84">
        <v>1002</v>
      </c>
      <c r="O84" t="s">
        <v>83</v>
      </c>
      <c r="P84" t="s">
        <v>83</v>
      </c>
      <c r="Q84">
        <v>1</v>
      </c>
      <c r="X84">
        <v>9.8176000000000005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 t="s">
        <v>6</v>
      </c>
      <c r="AG84">
        <v>9.8176000000000005</v>
      </c>
      <c r="AH84">
        <v>3</v>
      </c>
      <c r="AI84">
        <v>-1</v>
      </c>
      <c r="AJ84" t="s">
        <v>6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ROW(Source!A66)</f>
        <v>66</v>
      </c>
      <c r="B85">
        <v>44171429</v>
      </c>
      <c r="C85">
        <v>44171427</v>
      </c>
      <c r="D85">
        <v>35065183</v>
      </c>
      <c r="E85">
        <v>1</v>
      </c>
      <c r="F85">
        <v>1</v>
      </c>
      <c r="G85">
        <v>34959076</v>
      </c>
      <c r="H85">
        <v>2</v>
      </c>
      <c r="I85" t="s">
        <v>267</v>
      </c>
      <c r="J85" t="s">
        <v>268</v>
      </c>
      <c r="K85" t="s">
        <v>269</v>
      </c>
      <c r="L85">
        <v>1367</v>
      </c>
      <c r="N85">
        <v>1011</v>
      </c>
      <c r="O85" t="s">
        <v>232</v>
      </c>
      <c r="P85" t="s">
        <v>232</v>
      </c>
      <c r="Q85">
        <v>1</v>
      </c>
      <c r="X85">
        <v>1.82</v>
      </c>
      <c r="Y85">
        <v>0</v>
      </c>
      <c r="Z85">
        <v>14.12</v>
      </c>
      <c r="AA85">
        <v>0.32</v>
      </c>
      <c r="AB85">
        <v>0</v>
      </c>
      <c r="AC85">
        <v>0</v>
      </c>
      <c r="AD85">
        <v>1</v>
      </c>
      <c r="AE85">
        <v>0</v>
      </c>
      <c r="AF85" t="s">
        <v>6</v>
      </c>
      <c r="AG85">
        <v>1.82</v>
      </c>
      <c r="AH85">
        <v>2</v>
      </c>
      <c r="AI85">
        <v>44171428</v>
      </c>
      <c r="AJ85">
        <v>87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ROW(Source!A67)</f>
        <v>67</v>
      </c>
      <c r="B86">
        <v>44171433</v>
      </c>
      <c r="C86">
        <v>44171430</v>
      </c>
      <c r="D86">
        <v>34984826</v>
      </c>
      <c r="E86">
        <v>34959076</v>
      </c>
      <c r="F86">
        <v>1</v>
      </c>
      <c r="G86">
        <v>34959076</v>
      </c>
      <c r="H86">
        <v>1</v>
      </c>
      <c r="I86" t="s">
        <v>224</v>
      </c>
      <c r="J86" t="s">
        <v>6</v>
      </c>
      <c r="K86" t="s">
        <v>225</v>
      </c>
      <c r="L86">
        <v>1191</v>
      </c>
      <c r="N86">
        <v>1013</v>
      </c>
      <c r="O86" t="s">
        <v>226</v>
      </c>
      <c r="P86" t="s">
        <v>226</v>
      </c>
      <c r="Q86">
        <v>1</v>
      </c>
      <c r="X86">
        <v>0.26</v>
      </c>
      <c r="Y86">
        <v>0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1</v>
      </c>
      <c r="AF86" t="s">
        <v>6</v>
      </c>
      <c r="AG86">
        <v>0.26</v>
      </c>
      <c r="AH86">
        <v>2</v>
      </c>
      <c r="AI86">
        <v>44171431</v>
      </c>
      <c r="AJ86">
        <v>88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ROW(Source!A67)</f>
        <v>67</v>
      </c>
      <c r="B87">
        <v>44171434</v>
      </c>
      <c r="C87">
        <v>44171430</v>
      </c>
      <c r="D87">
        <v>38777804</v>
      </c>
      <c r="E87">
        <v>1</v>
      </c>
      <c r="F87">
        <v>1</v>
      </c>
      <c r="G87">
        <v>34959076</v>
      </c>
      <c r="H87">
        <v>2</v>
      </c>
      <c r="I87" t="s">
        <v>229</v>
      </c>
      <c r="J87" t="s">
        <v>230</v>
      </c>
      <c r="K87" t="s">
        <v>231</v>
      </c>
      <c r="L87">
        <v>1367</v>
      </c>
      <c r="N87">
        <v>1011</v>
      </c>
      <c r="O87" t="s">
        <v>232</v>
      </c>
      <c r="P87" t="s">
        <v>232</v>
      </c>
      <c r="Q87">
        <v>1</v>
      </c>
      <c r="X87">
        <v>0.26</v>
      </c>
      <c r="Y87">
        <v>0</v>
      </c>
      <c r="Z87">
        <v>1948.76</v>
      </c>
      <c r="AA87">
        <v>74.41</v>
      </c>
      <c r="AB87">
        <v>0</v>
      </c>
      <c r="AC87">
        <v>0</v>
      </c>
      <c r="AD87">
        <v>1</v>
      </c>
      <c r="AE87">
        <v>0</v>
      </c>
      <c r="AF87" t="s">
        <v>6</v>
      </c>
      <c r="AG87">
        <v>0.26</v>
      </c>
      <c r="AH87">
        <v>2</v>
      </c>
      <c r="AI87">
        <v>44171432</v>
      </c>
      <c r="AJ87">
        <v>89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ROW(Source!A103)</f>
        <v>103</v>
      </c>
      <c r="B88">
        <v>44171436</v>
      </c>
      <c r="C88">
        <v>44171435</v>
      </c>
      <c r="D88">
        <v>34984826</v>
      </c>
      <c r="E88">
        <v>34959076</v>
      </c>
      <c r="F88">
        <v>1</v>
      </c>
      <c r="G88">
        <v>34959076</v>
      </c>
      <c r="H88">
        <v>1</v>
      </c>
      <c r="I88" t="s">
        <v>224</v>
      </c>
      <c r="J88" t="s">
        <v>6</v>
      </c>
      <c r="K88" t="s">
        <v>225</v>
      </c>
      <c r="L88">
        <v>1191</v>
      </c>
      <c r="N88">
        <v>1013</v>
      </c>
      <c r="O88" t="s">
        <v>226</v>
      </c>
      <c r="P88" t="s">
        <v>226</v>
      </c>
      <c r="Q88">
        <v>1</v>
      </c>
      <c r="X88">
        <v>0.1</v>
      </c>
      <c r="Y88">
        <v>0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1</v>
      </c>
      <c r="AF88" t="s">
        <v>6</v>
      </c>
      <c r="AG88">
        <v>0.1</v>
      </c>
      <c r="AH88">
        <v>3</v>
      </c>
      <c r="AI88">
        <v>-1</v>
      </c>
      <c r="AJ88" t="s">
        <v>6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ROW(Source!A140)</f>
        <v>140</v>
      </c>
      <c r="B89">
        <v>44171440</v>
      </c>
      <c r="C89">
        <v>44171438</v>
      </c>
      <c r="D89">
        <v>34984824</v>
      </c>
      <c r="E89">
        <v>34959076</v>
      </c>
      <c r="F89">
        <v>1</v>
      </c>
      <c r="G89">
        <v>34959076</v>
      </c>
      <c r="H89">
        <v>2</v>
      </c>
      <c r="I89" t="s">
        <v>254</v>
      </c>
      <c r="J89" t="s">
        <v>6</v>
      </c>
      <c r="K89" t="s">
        <v>255</v>
      </c>
      <c r="L89">
        <v>1344</v>
      </c>
      <c r="N89">
        <v>1008</v>
      </c>
      <c r="O89" t="s">
        <v>256</v>
      </c>
      <c r="P89" t="s">
        <v>256</v>
      </c>
      <c r="Q89">
        <v>1</v>
      </c>
      <c r="X89">
        <v>55.05</v>
      </c>
      <c r="Y89">
        <v>0</v>
      </c>
      <c r="Z89">
        <v>1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6</v>
      </c>
      <c r="AG89">
        <v>55.05</v>
      </c>
      <c r="AH89">
        <v>2</v>
      </c>
      <c r="AI89">
        <v>44171439</v>
      </c>
      <c r="AJ89">
        <v>90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ROW(Source!A141)</f>
        <v>141</v>
      </c>
      <c r="B90">
        <v>44171442</v>
      </c>
      <c r="C90">
        <v>44171441</v>
      </c>
      <c r="D90">
        <v>34984824</v>
      </c>
      <c r="E90">
        <v>34959076</v>
      </c>
      <c r="F90">
        <v>1</v>
      </c>
      <c r="G90">
        <v>34959076</v>
      </c>
      <c r="H90">
        <v>2</v>
      </c>
      <c r="I90" t="s">
        <v>254</v>
      </c>
      <c r="J90" t="s">
        <v>6</v>
      </c>
      <c r="K90" t="s">
        <v>255</v>
      </c>
      <c r="L90">
        <v>1344</v>
      </c>
      <c r="N90">
        <v>1008</v>
      </c>
      <c r="O90" t="s">
        <v>256</v>
      </c>
      <c r="P90" t="s">
        <v>256</v>
      </c>
      <c r="Q90">
        <v>1</v>
      </c>
      <c r="X90">
        <v>43.28</v>
      </c>
      <c r="Y90">
        <v>0</v>
      </c>
      <c r="Z90">
        <v>1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6</v>
      </c>
      <c r="AG90">
        <v>43.28</v>
      </c>
      <c r="AH90">
        <v>3</v>
      </c>
      <c r="AI90">
        <v>-1</v>
      </c>
      <c r="AJ90" t="s">
        <v>6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по ТСН-2001</vt:lpstr>
      <vt:lpstr>Source</vt:lpstr>
      <vt:lpstr>SourceObSm</vt:lpstr>
      <vt:lpstr>SmtRes</vt:lpstr>
      <vt:lpstr>EtalonRes</vt:lpstr>
      <vt:lpstr>'Смета по ТСН-2001'!Заголовки_для_печати</vt:lpstr>
      <vt:lpstr>'Смета по ТСН-2001'!Область_печати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 Александр Николаевич</dc:creator>
  <cp:lastModifiedBy>Афоничев Александр Николаевич</cp:lastModifiedBy>
  <dcterms:created xsi:type="dcterms:W3CDTF">2019-09-10T06:33:31Z</dcterms:created>
  <dcterms:modified xsi:type="dcterms:W3CDTF">2019-09-10T11:59:49Z</dcterms:modified>
</cp:coreProperties>
</file>